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showInkAnnotation="0" codeName="ThisWorkbook" defaultThemeVersion="124226"/>
  <mc:AlternateContent xmlns:mc="http://schemas.openxmlformats.org/markup-compatibility/2006">
    <mc:Choice Requires="x15">
      <x15ac:absPath xmlns:x15ac="http://schemas.microsoft.com/office/spreadsheetml/2010/11/ac" url="Y:\CHI_TPTO\191595003 WisDOT System Manager\3 Project Data\TISMO - TIP\2 Benefits Analysis\"/>
    </mc:Choice>
  </mc:AlternateContent>
  <bookViews>
    <workbookView xWindow="0" yWindow="0" windowWidth="25200" windowHeight="11976" tabRatio="895" firstSheet="18" activeTab="27"/>
  </bookViews>
  <sheets>
    <sheet name="Project Information" sheetId="39" r:id="rId1"/>
    <sheet name="Doc Checklist" sheetId="43" r:id="rId2"/>
    <sheet name="O&amp;M Considerations" sheetId="42" r:id="rId3"/>
    <sheet name="Introduction" sheetId="37" r:id="rId4"/>
    <sheet name="Data Needs" sheetId="38" r:id="rId5"/>
    <sheet name="PARAMETERS" sheetId="40" r:id="rId6"/>
    <sheet name="1 New Signal Install" sheetId="3" state="hidden" r:id="rId7"/>
    <sheet name="1 New Signal Benefits" sheetId="5" state="hidden" r:id="rId8"/>
    <sheet name="2 Signal Replace" sheetId="2" state="hidden" r:id="rId9"/>
    <sheet name="2 Signal Replace Benefit" sheetId="4" state="hidden" r:id="rId10"/>
    <sheet name="3 Signal Rehab" sheetId="16" state="hidden" r:id="rId11"/>
    <sheet name="3 Signal Rehab Benefit" sheetId="18" state="hidden" r:id="rId12"/>
    <sheet name="4 Signal Retrofit" sheetId="11" state="hidden" r:id="rId13"/>
    <sheet name="4 Signal Retro Benefit" sheetId="21" state="hidden" r:id="rId14"/>
    <sheet name="5 Signal Retiming" sheetId="12" state="hidden" r:id="rId15"/>
    <sheet name="5 Signal Retiming Benefit" sheetId="23" state="hidden" r:id="rId16"/>
    <sheet name="6 LED Replace" sheetId="17" state="hidden" r:id="rId17"/>
    <sheet name="6 LED Replac Benefit" sheetId="19" state="hidden" r:id="rId18"/>
    <sheet name="7 Communication" sheetId="13" r:id="rId19"/>
    <sheet name="7 Comm Benefit" sheetId="24" state="hidden" r:id="rId20"/>
    <sheet name="drop-downs" sheetId="8" state="hidden" r:id="rId21"/>
    <sheet name="8 Software" sheetId="14" r:id="rId22"/>
    <sheet name="8 Software Benefit" sheetId="20" state="hidden" r:id="rId23"/>
    <sheet name="9 ITS Device Replac" sheetId="15" r:id="rId24"/>
    <sheet name="9 ITS Device Replac Benefit" sheetId="22" state="hidden" r:id="rId25"/>
    <sheet name="10 DMS" sheetId="34" r:id="rId26"/>
    <sheet name="10 DMS Benefit" sheetId="33" state="hidden" r:id="rId27"/>
    <sheet name="11 CCTV" sheetId="35" r:id="rId28"/>
    <sheet name="11 CCTV Benefit" sheetId="36" state="hidden" r:id="rId29"/>
    <sheet name="12 Other" sheetId="9" r:id="rId30"/>
  </sheets>
  <externalReferences>
    <externalReference r:id="rId31"/>
    <externalReference r:id="rId32"/>
  </externalReferences>
  <definedNames>
    <definedName name="LOS">'drop-downs'!$AU$2:$AU$7</definedName>
    <definedName name="_xlnm.Print_Area" localSheetId="6">'1 New Signal Install'!$A$1:$G$76</definedName>
    <definedName name="_xlnm.Print_Area" localSheetId="8">'2 Signal Replace'!$A$1:$G$77</definedName>
    <definedName name="_xlnm.Print_Area" localSheetId="10">'3 Signal Rehab'!$A$1:$G$41</definedName>
    <definedName name="_xlnm.Print_Area" localSheetId="12">'4 Signal Retrofit'!$A$1:$G$85</definedName>
    <definedName name="_xlnm.Print_Area" localSheetId="14">'5 Signal Retiming'!$A$1:$G$57</definedName>
    <definedName name="_xlnm.Print_Area" localSheetId="16">'6 LED Replace'!$A$1:$G$34</definedName>
    <definedName name="_xlnm.Print_Area" localSheetId="18">'7 Communication'!$A$1:$G$51</definedName>
    <definedName name="_xlnm.Print_Area" localSheetId="21">'8 Software'!$A$1:$G$78</definedName>
    <definedName name="_xlnm.Print_Area" localSheetId="23">'9 ITS Device Replac'!$A$1:$G$38</definedName>
    <definedName name="_xlnm.Print_Area" localSheetId="24">'9 ITS Device Replac Benefit'!$A$1:$G$53</definedName>
    <definedName name="YES.NO">'drop-downs'!$A$2:$A$3</definedName>
  </definedNames>
  <calcPr calcId="171027"/>
</workbook>
</file>

<file path=xl/calcChain.xml><?xml version="1.0" encoding="utf-8"?>
<calcChain xmlns="http://schemas.openxmlformats.org/spreadsheetml/2006/main">
  <c r="F6" i="34" l="1"/>
  <c r="F7" i="34"/>
  <c r="F5" i="34"/>
  <c r="D65" i="24" l="1"/>
  <c r="D64" i="24"/>
  <c r="D54" i="24"/>
  <c r="C53" i="24"/>
  <c r="B53" i="24"/>
  <c r="B39" i="24"/>
  <c r="D48" i="24"/>
  <c r="D51" i="24"/>
  <c r="D66" i="24" s="1"/>
  <c r="D67" i="24" s="1"/>
  <c r="D68" i="24" s="1"/>
  <c r="E6" i="43" l="1"/>
  <c r="E7" i="43"/>
  <c r="E5" i="43"/>
  <c r="E6" i="42"/>
  <c r="E7" i="42"/>
  <c r="E5" i="42"/>
  <c r="E14" i="9"/>
  <c r="E15" i="9"/>
  <c r="E16" i="9"/>
  <c r="E17" i="9"/>
  <c r="E18" i="9"/>
  <c r="E13" i="9"/>
  <c r="E25" i="24"/>
  <c r="E34" i="24"/>
  <c r="D34" i="24"/>
  <c r="E33" i="24"/>
  <c r="D33" i="24"/>
  <c r="E32" i="24"/>
  <c r="D32" i="24"/>
  <c r="E31" i="24"/>
  <c r="D31" i="24"/>
  <c r="E30" i="24"/>
  <c r="D30" i="24"/>
  <c r="E29" i="24"/>
  <c r="D29" i="24"/>
  <c r="E24" i="24"/>
  <c r="D24" i="24"/>
  <c r="C23" i="24"/>
  <c r="B23" i="24"/>
  <c r="C50" i="24" l="1"/>
  <c r="B50" i="24"/>
  <c r="B47" i="24"/>
  <c r="C47" i="24"/>
  <c r="C14" i="24"/>
  <c r="E16" i="13"/>
  <c r="E17" i="13"/>
  <c r="E18" i="13"/>
  <c r="E19" i="13"/>
  <c r="E20" i="13"/>
  <c r="E15" i="13"/>
  <c r="AF7" i="8"/>
  <c r="AF6" i="8"/>
  <c r="E14" i="15"/>
  <c r="E15" i="15"/>
  <c r="E16" i="15"/>
  <c r="E17" i="15"/>
  <c r="E18" i="15"/>
  <c r="E13" i="15"/>
  <c r="D6" i="9"/>
  <c r="D7" i="9"/>
  <c r="D5" i="9"/>
  <c r="F6" i="35"/>
  <c r="F7" i="35"/>
  <c r="F5" i="35"/>
  <c r="F87" i="35"/>
  <c r="F88" i="35"/>
  <c r="F89" i="35"/>
  <c r="F90" i="35"/>
  <c r="F91" i="35"/>
  <c r="F86" i="35"/>
  <c r="F91" i="34"/>
  <c r="F92" i="34"/>
  <c r="F93" i="34"/>
  <c r="F94" i="34"/>
  <c r="F95" i="34"/>
  <c r="F90" i="34"/>
  <c r="F59" i="33"/>
  <c r="D7" i="15"/>
  <c r="D6" i="15"/>
  <c r="D5" i="15"/>
  <c r="D7" i="14"/>
  <c r="D6" i="14"/>
  <c r="D5" i="14"/>
  <c r="D6" i="13"/>
  <c r="D7" i="13"/>
  <c r="D5" i="13"/>
  <c r="D33" i="13" s="1"/>
  <c r="D25" i="24" s="1"/>
  <c r="E174" i="36" l="1"/>
  <c r="D44" i="22"/>
  <c r="D46" i="12"/>
  <c r="D58" i="11"/>
  <c r="D47" i="18"/>
  <c r="D55" i="2"/>
  <c r="D135" i="21"/>
  <c r="E87" i="33" l="1"/>
  <c r="E83" i="33"/>
  <c r="E79" i="33"/>
  <c r="E75" i="33"/>
  <c r="F64" i="33"/>
  <c r="F49" i="33"/>
  <c r="E200" i="36"/>
  <c r="E196" i="36"/>
  <c r="E192" i="36"/>
  <c r="E188" i="36"/>
  <c r="F160" i="36"/>
  <c r="E165" i="36"/>
  <c r="F165" i="36"/>
  <c r="F156" i="36" s="1"/>
  <c r="E166" i="36"/>
  <c r="F166" i="36"/>
  <c r="F157" i="36" s="1"/>
  <c r="E167" i="36"/>
  <c r="F167" i="36"/>
  <c r="F158" i="36" s="1"/>
  <c r="E168" i="36"/>
  <c r="F168" i="36"/>
  <c r="F159" i="36" s="1"/>
  <c r="E169" i="36"/>
  <c r="F169" i="36"/>
  <c r="F164" i="36"/>
  <c r="F155" i="36" s="1"/>
  <c r="E164" i="36"/>
  <c r="E131" i="36"/>
  <c r="E126" i="36"/>
  <c r="E118" i="36"/>
  <c r="E98" i="36"/>
  <c r="E89" i="36"/>
  <c r="E18" i="40"/>
  <c r="E52" i="36" s="1"/>
  <c r="E50" i="36"/>
  <c r="E47" i="36"/>
  <c r="E42" i="36"/>
  <c r="E39" i="22"/>
  <c r="E30" i="22" s="1"/>
  <c r="D39" i="22"/>
  <c r="E38" i="22"/>
  <c r="E29" i="22" s="1"/>
  <c r="D38" i="22"/>
  <c r="E37" i="22"/>
  <c r="E28" i="22" s="1"/>
  <c r="D37" i="22"/>
  <c r="E36" i="22"/>
  <c r="E27" i="22" s="1"/>
  <c r="D36" i="22"/>
  <c r="E35" i="22"/>
  <c r="E26" i="22" s="1"/>
  <c r="D35" i="22"/>
  <c r="E34" i="22"/>
  <c r="E25" i="22" s="1"/>
  <c r="D34" i="22"/>
  <c r="D40" i="19"/>
  <c r="D36" i="19"/>
  <c r="D107" i="23"/>
  <c r="D103" i="23"/>
  <c r="D99" i="23"/>
  <c r="D95" i="23"/>
  <c r="D76" i="23"/>
  <c r="D67" i="23"/>
  <c r="D38" i="23"/>
  <c r="D32" i="23"/>
  <c r="D31" i="23"/>
  <c r="D161" i="21"/>
  <c r="D157" i="21"/>
  <c r="D153" i="21"/>
  <c r="D149" i="21"/>
  <c r="E130" i="21"/>
  <c r="D130" i="21"/>
  <c r="E129" i="21"/>
  <c r="D129" i="21"/>
  <c r="E128" i="21"/>
  <c r="D128" i="21"/>
  <c r="E127" i="21"/>
  <c r="D127" i="21"/>
  <c r="E126" i="21"/>
  <c r="D126" i="21"/>
  <c r="E125" i="21"/>
  <c r="D125" i="21"/>
  <c r="D96" i="21"/>
  <c r="D87" i="21"/>
  <c r="D50" i="21"/>
  <c r="D49" i="21"/>
  <c r="E42" i="18"/>
  <c r="E33" i="18" s="1"/>
  <c r="D42" i="18"/>
  <c r="E41" i="18"/>
  <c r="E32" i="18" s="1"/>
  <c r="D41" i="18"/>
  <c r="E40" i="18"/>
  <c r="E31" i="18" s="1"/>
  <c r="D40" i="18"/>
  <c r="E39" i="18"/>
  <c r="E30" i="18" s="1"/>
  <c r="D39" i="18"/>
  <c r="E38" i="18"/>
  <c r="E29" i="18" s="1"/>
  <c r="D38" i="18"/>
  <c r="E37" i="18"/>
  <c r="E28" i="18" s="1"/>
  <c r="D37" i="18"/>
  <c r="D150" i="4"/>
  <c r="D146" i="4"/>
  <c r="D142" i="4"/>
  <c r="D138" i="4"/>
  <c r="D116" i="4"/>
  <c r="E116" i="4"/>
  <c r="E107" i="4" s="1"/>
  <c r="D117" i="4"/>
  <c r="E117" i="4"/>
  <c r="E108" i="4" s="1"/>
  <c r="D118" i="4"/>
  <c r="E118" i="4"/>
  <c r="E109" i="4" s="1"/>
  <c r="D119" i="4"/>
  <c r="E119" i="4"/>
  <c r="E110" i="4" s="1"/>
  <c r="D120" i="4"/>
  <c r="E120" i="4"/>
  <c r="E111" i="4" s="1"/>
  <c r="E115" i="4"/>
  <c r="E106" i="4" s="1"/>
  <c r="D115" i="4"/>
  <c r="D86" i="4"/>
  <c r="D77" i="4"/>
  <c r="D48" i="4"/>
  <c r="D47" i="4"/>
  <c r="D113" i="5"/>
  <c r="D109" i="5"/>
  <c r="D105" i="5"/>
  <c r="D101" i="5"/>
  <c r="J9" i="40"/>
  <c r="D91" i="4" s="1"/>
  <c r="D82" i="5"/>
  <c r="D52" i="5"/>
  <c r="D51" i="5"/>
  <c r="E12" i="40"/>
  <c r="D35" i="23" s="1"/>
  <c r="E11" i="40"/>
  <c r="D34" i="23" s="1"/>
  <c r="E10" i="40"/>
  <c r="D44" i="21" s="1"/>
  <c r="E9" i="40"/>
  <c r="D43" i="21" s="1"/>
  <c r="E8" i="40"/>
  <c r="D42" i="21" s="1"/>
  <c r="E43" i="36" l="1"/>
  <c r="D81" i="23"/>
  <c r="E103" i="36"/>
  <c r="D40" i="4"/>
  <c r="E40" i="36"/>
  <c r="E41" i="36"/>
  <c r="D41" i="4"/>
  <c r="E44" i="36"/>
  <c r="D48" i="5"/>
  <c r="D87" i="5"/>
  <c r="D42" i="4"/>
  <c r="D46" i="21"/>
  <c r="D101" i="21"/>
  <c r="D33" i="23"/>
  <c r="D47" i="5"/>
  <c r="D46" i="5"/>
  <c r="D44" i="4"/>
  <c r="D45" i="21"/>
  <c r="D44" i="5"/>
  <c r="D45" i="5"/>
  <c r="D43" i="4"/>
  <c r="D80" i="5"/>
  <c r="D77" i="5"/>
  <c r="D5" i="38"/>
  <c r="E5" i="38" s="1"/>
  <c r="F5" i="38" s="1"/>
  <c r="G5" i="38" s="1"/>
  <c r="H5" i="38" s="1"/>
  <c r="I5" i="38" s="1"/>
  <c r="J5" i="38" s="1"/>
  <c r="K5" i="38" s="1"/>
  <c r="L5" i="38" s="1"/>
  <c r="M5" i="38" s="1"/>
  <c r="N5" i="38" s="1"/>
  <c r="D85" i="5" l="1"/>
  <c r="D59" i="20"/>
  <c r="E34" i="36" l="1"/>
  <c r="E70" i="36" s="1"/>
  <c r="E35" i="36"/>
  <c r="E71" i="36" s="1"/>
  <c r="E36" i="36"/>
  <c r="E72" i="36" s="1"/>
  <c r="E37" i="36"/>
  <c r="E73" i="36" s="1"/>
  <c r="D25" i="23"/>
  <c r="D42" i="23" s="1"/>
  <c r="D49" i="23" s="1"/>
  <c r="D26" i="23"/>
  <c r="D43" i="23" s="1"/>
  <c r="D50" i="23" s="1"/>
  <c r="D27" i="23"/>
  <c r="D44" i="23" s="1"/>
  <c r="D28" i="23"/>
  <c r="D45" i="23" s="1"/>
  <c r="D30" i="21"/>
  <c r="D31" i="21"/>
  <c r="D32" i="21"/>
  <c r="D33" i="21"/>
  <c r="D31" i="4"/>
  <c r="D32" i="4"/>
  <c r="D33" i="4"/>
  <c r="D34" i="4"/>
  <c r="D28" i="4"/>
  <c r="D35" i="5"/>
  <c r="D36" i="5"/>
  <c r="D37" i="5"/>
  <c r="D38" i="5"/>
  <c r="E56" i="36" l="1"/>
  <c r="E63" i="36" s="1"/>
  <c r="E59" i="36"/>
  <c r="E66" i="36" s="1"/>
  <c r="E58" i="36"/>
  <c r="E65" i="36" s="1"/>
  <c r="E57" i="36"/>
  <c r="E64" i="36" s="1"/>
  <c r="D52" i="23"/>
  <c r="D51" i="23"/>
  <c r="D35" i="33"/>
  <c r="H82" i="35" l="1"/>
  <c r="H64" i="35"/>
  <c r="H54" i="35"/>
  <c r="H43" i="35"/>
  <c r="H33" i="34"/>
  <c r="H77" i="34"/>
  <c r="H68" i="34"/>
  <c r="H57" i="34"/>
  <c r="H48" i="34"/>
  <c r="D112" i="21" l="1"/>
  <c r="D111" i="21"/>
  <c r="D109" i="21"/>
  <c r="D80" i="21"/>
  <c r="D93" i="21" s="1"/>
  <c r="D83" i="21"/>
  <c r="D85" i="21" s="1"/>
  <c r="D70" i="4"/>
  <c r="D83" i="4" s="1"/>
  <c r="D73" i="4"/>
  <c r="D75" i="4" s="1"/>
  <c r="D79" i="4" s="1"/>
  <c r="D81" i="4" s="1"/>
  <c r="D89" i="21" l="1"/>
  <c r="D91" i="21" s="1"/>
  <c r="D99" i="21" s="1"/>
  <c r="D89" i="4"/>
  <c r="F14" i="36"/>
  <c r="F15" i="36"/>
  <c r="F16" i="36"/>
  <c r="F17" i="36"/>
  <c r="F18" i="36"/>
  <c r="F13" i="36"/>
  <c r="F18" i="33"/>
  <c r="F19" i="33"/>
  <c r="F20" i="33"/>
  <c r="F17" i="33"/>
  <c r="E85" i="36" l="1"/>
  <c r="E87" i="36" s="1"/>
  <c r="E91" i="36" l="1"/>
  <c r="E93" i="36" s="1"/>
  <c r="AS5" i="8"/>
  <c r="D63" i="23" l="1"/>
  <c r="D65" i="23" s="1"/>
  <c r="D69" i="23" l="1"/>
  <c r="F115" i="36"/>
  <c r="D71" i="23" l="1"/>
  <c r="F112" i="36"/>
  <c r="F109" i="36"/>
  <c r="E121" i="36" l="1"/>
  <c r="E124" i="36" s="1"/>
  <c r="E129" i="36" s="1"/>
  <c r="E151" i="36"/>
  <c r="E148" i="36"/>
  <c r="E146" i="36"/>
  <c r="E144" i="36"/>
  <c r="E82" i="36"/>
  <c r="E95" i="36" s="1"/>
  <c r="E101" i="36" s="1"/>
  <c r="E33" i="36"/>
  <c r="E185" i="36" l="1"/>
  <c r="E55" i="36"/>
  <c r="D30" i="4" l="1"/>
  <c r="E160" i="36" l="1"/>
  <c r="E159" i="36"/>
  <c r="E158" i="36"/>
  <c r="E157" i="36"/>
  <c r="E156" i="36"/>
  <c r="E155" i="36"/>
  <c r="E172" i="36"/>
  <c r="E176" i="36" s="1"/>
  <c r="E69" i="36"/>
  <c r="F10" i="36"/>
  <c r="F6" i="36"/>
  <c r="F7" i="36"/>
  <c r="F5" i="36"/>
  <c r="E62" i="36" l="1"/>
  <c r="D34" i="19"/>
  <c r="F29" i="33" l="1"/>
  <c r="H85" i="34"/>
  <c r="F32" i="33"/>
  <c r="F26" i="33"/>
  <c r="F23" i="33"/>
  <c r="D37" i="33"/>
  <c r="D38" i="33"/>
  <c r="D39" i="33"/>
  <c r="D40" i="33"/>
  <c r="D41" i="33"/>
  <c r="D36" i="33"/>
  <c r="F16" i="33"/>
  <c r="F15" i="33"/>
  <c r="E10" i="33"/>
  <c r="E6" i="33"/>
  <c r="E7" i="33"/>
  <c r="E5" i="33"/>
  <c r="F51" i="33" l="1"/>
  <c r="F53" i="33" s="1"/>
  <c r="F55" i="33" s="1"/>
  <c r="F57" i="33" s="1"/>
  <c r="F62" i="33" s="1"/>
  <c r="H73" i="35"/>
  <c r="H29" i="35"/>
  <c r="F18" i="35" l="1"/>
  <c r="F27" i="36" s="1"/>
  <c r="F17" i="35"/>
  <c r="F26" i="36" s="1"/>
  <c r="F178" i="36" s="1"/>
  <c r="F16" i="35"/>
  <c r="F25" i="36" s="1"/>
  <c r="F13" i="35"/>
  <c r="F22" i="36" s="1"/>
  <c r="F105" i="36" s="1"/>
  <c r="F137" i="36" s="1"/>
  <c r="F15" i="35"/>
  <c r="F24" i="36" s="1"/>
  <c r="F14" i="35"/>
  <c r="F23" i="36" s="1"/>
  <c r="F137" i="35" l="1"/>
  <c r="F133" i="36"/>
  <c r="F138" i="36" s="1"/>
  <c r="F76" i="36"/>
  <c r="F75" i="36"/>
  <c r="F14" i="34"/>
  <c r="E37" i="33" s="1"/>
  <c r="F15" i="34"/>
  <c r="E38" i="33" s="1"/>
  <c r="F16" i="34"/>
  <c r="E39" i="33" s="1"/>
  <c r="F17" i="34"/>
  <c r="E40" i="33" s="1"/>
  <c r="F18" i="34"/>
  <c r="E41" i="33" s="1"/>
  <c r="F13" i="34"/>
  <c r="E36" i="33" s="1"/>
  <c r="F66" i="33" l="1"/>
  <c r="E190" i="36"/>
  <c r="E198" i="36" s="1"/>
  <c r="F202" i="36" s="1"/>
  <c r="F122" i="35"/>
  <c r="F102" i="35"/>
  <c r="D21" i="23"/>
  <c r="D7" i="18"/>
  <c r="D33" i="18"/>
  <c r="D32" i="18"/>
  <c r="D31" i="18"/>
  <c r="D30" i="18"/>
  <c r="D29" i="18"/>
  <c r="D28" i="18"/>
  <c r="D13" i="22"/>
  <c r="D26" i="22"/>
  <c r="D27" i="22"/>
  <c r="D28" i="22"/>
  <c r="D29" i="22"/>
  <c r="D30" i="22"/>
  <c r="D25" i="22"/>
  <c r="E72" i="33" l="1"/>
  <c r="E77" i="33" s="1"/>
  <c r="G110" i="34"/>
  <c r="F194" i="36"/>
  <c r="F204" i="36" s="1"/>
  <c r="F207" i="36" s="1"/>
  <c r="F142" i="35" l="1"/>
  <c r="G146" i="35" l="1"/>
  <c r="G147" i="35" s="1"/>
  <c r="D10" i="18"/>
  <c r="E85" i="33" l="1"/>
  <c r="F89" i="33" s="1"/>
  <c r="F81" i="33"/>
  <c r="F91" i="33" l="1"/>
  <c r="E117" i="21"/>
  <c r="E118" i="21"/>
  <c r="E119" i="21"/>
  <c r="E120" i="21"/>
  <c r="E121" i="21"/>
  <c r="E116" i="21"/>
  <c r="D117" i="21"/>
  <c r="D118" i="21"/>
  <c r="D119" i="21"/>
  <c r="D120" i="21"/>
  <c r="D121" i="21"/>
  <c r="D116" i="21"/>
  <c r="F94" i="33" l="1"/>
  <c r="G113" i="34" s="1"/>
  <c r="G114" i="34" s="1"/>
  <c r="G111" i="34"/>
  <c r="D24" i="5"/>
  <c r="D32" i="5"/>
  <c r="D15" i="5"/>
  <c r="D16" i="5"/>
  <c r="D17" i="5"/>
  <c r="D18" i="5"/>
  <c r="D19" i="5"/>
  <c r="D20" i="5"/>
  <c r="D21" i="5"/>
  <c r="D10" i="5"/>
  <c r="C33" i="11" l="1"/>
  <c r="D39" i="21"/>
  <c r="C38" i="21"/>
  <c r="B38" i="21"/>
  <c r="C35" i="21"/>
  <c r="D34" i="5" l="1"/>
  <c r="D133" i="21" l="1"/>
  <c r="D137" i="21" s="1"/>
  <c r="D29" i="21"/>
  <c r="D146" i="21" l="1"/>
  <c r="D151" i="21" s="1"/>
  <c r="D159" i="21" l="1"/>
  <c r="E163" i="21" s="1"/>
  <c r="E155" i="21"/>
  <c r="AF5" i="8"/>
  <c r="AF4" i="8"/>
  <c r="AF3" i="8"/>
  <c r="AF2" i="8"/>
  <c r="D21" i="22"/>
  <c r="D20" i="22"/>
  <c r="D18" i="22"/>
  <c r="D10" i="22"/>
  <c r="D7" i="22"/>
  <c r="D6" i="22"/>
  <c r="D5" i="22"/>
  <c r="C78" i="20"/>
  <c r="D76" i="20"/>
  <c r="C73" i="20"/>
  <c r="D58" i="20"/>
  <c r="D57" i="20"/>
  <c r="D56" i="20"/>
  <c r="C53" i="20"/>
  <c r="C45" i="20"/>
  <c r="D43" i="20"/>
  <c r="C40" i="20"/>
  <c r="C32" i="20"/>
  <c r="D30" i="20"/>
  <c r="C27" i="20"/>
  <c r="D21" i="20"/>
  <c r="E80" i="20" s="1"/>
  <c r="E74" i="14" s="1"/>
  <c r="D20" i="20"/>
  <c r="D19" i="20"/>
  <c r="D18" i="20"/>
  <c r="C15" i="20"/>
  <c r="D12" i="20"/>
  <c r="D10" i="20"/>
  <c r="D7" i="20"/>
  <c r="D6" i="20"/>
  <c r="D5" i="20"/>
  <c r="D40" i="24"/>
  <c r="D43" i="24" s="1"/>
  <c r="D21" i="24"/>
  <c r="D19" i="24"/>
  <c r="D12" i="24"/>
  <c r="D10" i="24"/>
  <c r="D7" i="24"/>
  <c r="D6" i="24"/>
  <c r="D5" i="24"/>
  <c r="D38" i="19"/>
  <c r="D20" i="19"/>
  <c r="D14" i="19"/>
  <c r="D13" i="19"/>
  <c r="D10" i="19"/>
  <c r="D7" i="19"/>
  <c r="D6" i="19"/>
  <c r="D5" i="19"/>
  <c r="D60" i="23"/>
  <c r="D73" i="23" s="1"/>
  <c r="D79" i="23" s="1"/>
  <c r="D24" i="23"/>
  <c r="D41" i="23" s="1"/>
  <c r="D14" i="23"/>
  <c r="D13" i="23"/>
  <c r="D10" i="23"/>
  <c r="D7" i="23"/>
  <c r="D6" i="23"/>
  <c r="D5" i="23"/>
  <c r="D36" i="21"/>
  <c r="D26" i="21"/>
  <c r="D19" i="21"/>
  <c r="D18" i="21"/>
  <c r="D17" i="21"/>
  <c r="C14" i="21"/>
  <c r="D12" i="21"/>
  <c r="D10" i="21"/>
  <c r="D7" i="21"/>
  <c r="D6" i="21"/>
  <c r="D5" i="21"/>
  <c r="C36" i="11"/>
  <c r="C28" i="21" s="1"/>
  <c r="C25" i="21"/>
  <c r="D24" i="18"/>
  <c r="D23" i="18"/>
  <c r="D21" i="18"/>
  <c r="D16" i="18"/>
  <c r="D13" i="18"/>
  <c r="D6" i="18"/>
  <c r="D5" i="18"/>
  <c r="D102" i="4"/>
  <c r="D101" i="4"/>
  <c r="D99" i="4"/>
  <c r="D37" i="4"/>
  <c r="D21" i="4"/>
  <c r="D20" i="4"/>
  <c r="E93" i="4" s="1"/>
  <c r="D19" i="4"/>
  <c r="C16" i="4"/>
  <c r="D14" i="4"/>
  <c r="D12" i="4"/>
  <c r="D10" i="4"/>
  <c r="D7" i="4"/>
  <c r="D6" i="4"/>
  <c r="D5" i="4"/>
  <c r="D125" i="4" s="1"/>
  <c r="D98" i="5"/>
  <c r="D103" i="5" s="1"/>
  <c r="D74" i="5"/>
  <c r="D41" i="5"/>
  <c r="D25" i="5"/>
  <c r="D26" i="5" s="1"/>
  <c r="D14" i="5"/>
  <c r="D13" i="5"/>
  <c r="D7" i="5"/>
  <c r="D6" i="5"/>
  <c r="D5" i="5"/>
  <c r="D45" i="24" l="1"/>
  <c r="E140" i="21"/>
  <c r="E74" i="11" s="1"/>
  <c r="E67" i="20"/>
  <c r="E61" i="14" s="1"/>
  <c r="D54" i="4"/>
  <c r="D61" i="4" s="1"/>
  <c r="D53" i="4"/>
  <c r="D60" i="4" s="1"/>
  <c r="D55" i="4"/>
  <c r="D62" i="4" s="1"/>
  <c r="D52" i="4"/>
  <c r="D59" i="4" s="1"/>
  <c r="D55" i="5"/>
  <c r="D62" i="5" s="1"/>
  <c r="D57" i="5"/>
  <c r="D64" i="5" s="1"/>
  <c r="D59" i="5"/>
  <c r="D66" i="5" s="1"/>
  <c r="D56" i="5"/>
  <c r="D63" i="5" s="1"/>
  <c r="D58" i="5"/>
  <c r="D65" i="5" s="1"/>
  <c r="D54" i="21"/>
  <c r="D61" i="21" s="1"/>
  <c r="D53" i="21"/>
  <c r="D67" i="21" s="1"/>
  <c r="D55" i="21"/>
  <c r="D69" i="21" s="1"/>
  <c r="D57" i="21"/>
  <c r="D64" i="21" s="1"/>
  <c r="D56" i="21"/>
  <c r="D63" i="21" s="1"/>
  <c r="D62" i="21"/>
  <c r="D60" i="21"/>
  <c r="D15" i="23"/>
  <c r="E83" i="23"/>
  <c r="E103" i="21"/>
  <c r="E60" i="11" s="1"/>
  <c r="D20" i="21"/>
  <c r="E165" i="21" s="1"/>
  <c r="E81" i="11" s="1"/>
  <c r="D22" i="4"/>
  <c r="E89" i="5"/>
  <c r="E63" i="3" s="1"/>
  <c r="D89" i="23"/>
  <c r="D92" i="23"/>
  <c r="D97" i="23" s="1"/>
  <c r="D105" i="23" s="1"/>
  <c r="E109" i="23" s="1"/>
  <c r="D42" i="22"/>
  <c r="E47" i="20"/>
  <c r="E47" i="14" s="1"/>
  <c r="D48" i="23"/>
  <c r="E54" i="23" s="1"/>
  <c r="E42" i="19"/>
  <c r="E30" i="17" s="1"/>
  <c r="D45" i="18"/>
  <c r="D49" i="18" s="1"/>
  <c r="E51" i="18" s="1"/>
  <c r="D123" i="4"/>
  <c r="E127" i="4" s="1"/>
  <c r="E68" i="2" s="1"/>
  <c r="D95" i="5"/>
  <c r="E107" i="5"/>
  <c r="D111" i="5"/>
  <c r="E115" i="5" s="1"/>
  <c r="D51" i="4"/>
  <c r="D58" i="4" s="1"/>
  <c r="D135" i="4"/>
  <c r="D140" i="4" s="1"/>
  <c r="E34" i="20"/>
  <c r="E70" i="24" l="1"/>
  <c r="E74" i="24" s="1"/>
  <c r="D46" i="22"/>
  <c r="E49" i="22" s="1"/>
  <c r="E34" i="15" s="1"/>
  <c r="E54" i="18"/>
  <c r="D70" i="21"/>
  <c r="D71" i="21"/>
  <c r="D68" i="21"/>
  <c r="E74" i="21"/>
  <c r="E48" i="12"/>
  <c r="E37" i="12"/>
  <c r="E101" i="23"/>
  <c r="E111" i="23" s="1"/>
  <c r="E53" i="12" s="1"/>
  <c r="E83" i="20"/>
  <c r="E77" i="14" s="1"/>
  <c r="E78" i="14" s="1"/>
  <c r="E68" i="5"/>
  <c r="E49" i="3" s="1"/>
  <c r="E117" i="5"/>
  <c r="E68" i="3" s="1"/>
  <c r="D148" i="4"/>
  <c r="E152" i="4" s="1"/>
  <c r="E144" i="4"/>
  <c r="E64" i="4"/>
  <c r="E46" i="2" s="1"/>
  <c r="E34" i="14"/>
  <c r="E57" i="2"/>
  <c r="E47" i="13" l="1"/>
  <c r="E50" i="13" s="1"/>
  <c r="E51" i="13" s="1"/>
  <c r="E52" i="22"/>
  <c r="E37" i="15" s="1"/>
  <c r="E38" i="15" s="1"/>
  <c r="E114" i="23"/>
  <c r="E56" i="12" s="1"/>
  <c r="E57" i="12" s="1"/>
  <c r="E37" i="16"/>
  <c r="E71" i="3"/>
  <c r="E72" i="3" s="1"/>
  <c r="E120" i="5"/>
  <c r="E40" i="16"/>
  <c r="E41" i="16" s="1"/>
  <c r="E154" i="4"/>
  <c r="E168" i="21" l="1"/>
  <c r="E73" i="2"/>
  <c r="E76" i="2" s="1"/>
  <c r="E77" i="2" s="1"/>
  <c r="E157" i="4"/>
  <c r="E84" i="11" l="1"/>
  <c r="E85" i="11" s="1"/>
  <c r="E49" i="11"/>
  <c r="D110" i="4" l="1"/>
  <c r="D106" i="4"/>
  <c r="D111" i="4"/>
  <c r="D107" i="4"/>
  <c r="D109" i="4"/>
  <c r="D108" i="4"/>
  <c r="D22" i="19" l="1"/>
  <c r="D24" i="19" s="1"/>
  <c r="E26" i="19" s="1"/>
  <c r="E25" i="17" l="1"/>
  <c r="E33" i="17" s="1"/>
  <c r="E34" i="17" s="1"/>
  <c r="E45" i="19"/>
</calcChain>
</file>

<file path=xl/comments1.xml><?xml version="1.0" encoding="utf-8"?>
<comments xmlns="http://schemas.openxmlformats.org/spreadsheetml/2006/main">
  <authors>
    <author>sallee</author>
  </authors>
  <commentList>
    <comment ref="C2" authorId="0" shapeId="0">
      <text>
        <r>
          <rPr>
            <b/>
            <sz val="9"/>
            <color indexed="81"/>
            <rFont val="Tahoma"/>
            <family val="2"/>
          </rPr>
          <t>sallee:</t>
        </r>
        <r>
          <rPr>
            <sz val="9"/>
            <color indexed="81"/>
            <rFont val="Tahoma"/>
            <family val="2"/>
          </rPr>
          <t xml:space="preserve">
Is there a definition for rehab and retrofit?  </t>
        </r>
      </text>
    </comment>
  </commentList>
</comments>
</file>

<file path=xl/sharedStrings.xml><?xml version="1.0" encoding="utf-8"?>
<sst xmlns="http://schemas.openxmlformats.org/spreadsheetml/2006/main" count="2002" uniqueCount="689">
  <si>
    <t>Proposed Project Name:</t>
  </si>
  <si>
    <t>Proposed Project Benefit Analyst:</t>
  </si>
  <si>
    <t>Region:</t>
  </si>
  <si>
    <t>NO</t>
  </si>
  <si>
    <t>YES</t>
  </si>
  <si>
    <t>Indicate the type of benefit(s) that are expected as a result of this project?</t>
  </si>
  <si>
    <t>Safety</t>
  </si>
  <si>
    <t>Productivity (Improved Maintenance)</t>
  </si>
  <si>
    <t>Safety Benefits</t>
  </si>
  <si>
    <t>Mobility (Reduction of Travel Time Delay or Variability / Increased Throughput)</t>
  </si>
  <si>
    <t>CCTV</t>
  </si>
  <si>
    <t>DMS</t>
  </si>
  <si>
    <t>Other</t>
  </si>
  <si>
    <t xml:space="preserve">S1. </t>
  </si>
  <si>
    <t>Mobility Benefits</t>
  </si>
  <si>
    <t xml:space="preserve">M1. </t>
  </si>
  <si>
    <t>What is the primary purpose of the project?</t>
  </si>
  <si>
    <t>YES.NO</t>
  </si>
  <si>
    <t>ITS Device Project Purpose</t>
  </si>
  <si>
    <t>Enhanced Traveler Information</t>
  </si>
  <si>
    <t>Energy and Environment</t>
  </si>
  <si>
    <t>Signal Project Purpose</t>
  </si>
  <si>
    <t>Decrease Maintenance Efforts</t>
  </si>
  <si>
    <t>Increase Vehicular Safety</t>
  </si>
  <si>
    <t>Productivity Benefits</t>
  </si>
  <si>
    <t xml:space="preserve">P1. </t>
  </si>
  <si>
    <t>Region</t>
  </si>
  <si>
    <t>BTO</t>
  </si>
  <si>
    <t>Southeast</t>
  </si>
  <si>
    <t>Southwest</t>
  </si>
  <si>
    <t>Northeast</t>
  </si>
  <si>
    <t>Northwest</t>
  </si>
  <si>
    <t>North Central</t>
  </si>
  <si>
    <t>Project Benefits - New Signal Installation</t>
  </si>
  <si>
    <t>Signal Warrants</t>
  </si>
  <si>
    <t>W1, Eight-Hour Veh Volume</t>
  </si>
  <si>
    <t>W2, Four-Hour Veh Volume</t>
  </si>
  <si>
    <t>W3, Peak Hour</t>
  </si>
  <si>
    <t>W4, Pedestrian Volume</t>
  </si>
  <si>
    <t>W5, School Crossing</t>
  </si>
  <si>
    <t>W6, Coordinated Signal System</t>
  </si>
  <si>
    <t>W7, Crash Experience</t>
  </si>
  <si>
    <t>W8, Roadway Network</t>
  </si>
  <si>
    <t>W9, Near Grade Crossing</t>
  </si>
  <si>
    <t>3 Project Type</t>
  </si>
  <si>
    <t>Signal Retrofit</t>
  </si>
  <si>
    <t>LED Signal Replacement</t>
  </si>
  <si>
    <t xml:space="preserve">S2. </t>
  </si>
  <si>
    <t>Project Benefits - Signal Retiming</t>
  </si>
  <si>
    <t xml:space="preserve">E1. </t>
  </si>
  <si>
    <t>Expansion Type</t>
  </si>
  <si>
    <t>Communications Backbone</t>
  </si>
  <si>
    <t>Indicate the proposed expansion type.</t>
  </si>
  <si>
    <t>Expansion Purpose</t>
  </si>
  <si>
    <t>Establish Signal Communications</t>
  </si>
  <si>
    <t>Eliminate Necessity for Service Provider</t>
  </si>
  <si>
    <t>Project Benefits - Software Upgrade</t>
  </si>
  <si>
    <t>Briefly describe the anticipated benefit of the proposed software upgrade.</t>
  </si>
  <si>
    <t>Software Upgrade</t>
  </si>
  <si>
    <t>Next Generation Upgrade</t>
  </si>
  <si>
    <t>New Software Deployment</t>
  </si>
  <si>
    <t>Current Software Replacement</t>
  </si>
  <si>
    <t>Describe the anticipated Safety benefits of the proposed project.</t>
  </si>
  <si>
    <t>Describe the anticipated Mobility benefits of the proposed project.</t>
  </si>
  <si>
    <t>Describe the anticipated Productivity benefits of the proposed project.</t>
  </si>
  <si>
    <t>Energy and Environment Benefits</t>
  </si>
  <si>
    <t>Describe the anticipated Energy and Environment benefits of the proposed project.</t>
  </si>
  <si>
    <t>Project Benefits - Signal Replacement</t>
  </si>
  <si>
    <t>Project Benefits - Signal Rehabilitation</t>
  </si>
  <si>
    <t>Project Benefits - Signal Retrofit</t>
  </si>
  <si>
    <t>Project Benefits - LED Signal Replacement</t>
  </si>
  <si>
    <t>What is the primary improvement type?</t>
  </si>
  <si>
    <t>Signal Replace Type</t>
  </si>
  <si>
    <t>Geometric Changes</t>
  </si>
  <si>
    <t>Addition of Turn Lane(s)</t>
  </si>
  <si>
    <t>Cabinet Adjustments</t>
  </si>
  <si>
    <t xml:space="preserve">S3. </t>
  </si>
  <si>
    <t>Urban or Rural</t>
  </si>
  <si>
    <t>Urban</t>
  </si>
  <si>
    <t>Rural</t>
  </si>
  <si>
    <t>How many crashes, by type, occurred in the past year at this intersection?</t>
  </si>
  <si>
    <t>Fatal Crashes</t>
  </si>
  <si>
    <t>Injury Crashes</t>
  </si>
  <si>
    <t>Property Damage Only Crashes</t>
  </si>
  <si>
    <t>Estimated Safety Benefit:</t>
  </si>
  <si>
    <t>Non-incapacitating Injury Crashes</t>
  </si>
  <si>
    <t>Incapacitating Injury Crashes</t>
  </si>
  <si>
    <t>Possible Injury Crashes</t>
  </si>
  <si>
    <t>Economic loss using 2010 National Safety Council estimates plus 3% (2011), 2% (2012) and 2% (2013), the consumer price index, as per the Minneapolis Federal Reserve Bank. (0.1 Reference)</t>
  </si>
  <si>
    <t>What is the average number of vehicles entering the intersection per year?</t>
  </si>
  <si>
    <t>Million Entering Vehicles</t>
  </si>
  <si>
    <t>Average Crash Rate per MEV (0.2)</t>
  </si>
  <si>
    <t>Expected safety benefit per crash type.</t>
  </si>
  <si>
    <t xml:space="preserve">S4. </t>
  </si>
  <si>
    <t xml:space="preserve">S5. </t>
  </si>
  <si>
    <t xml:space="preserve">S6. </t>
  </si>
  <si>
    <t xml:space="preserve">S7. </t>
  </si>
  <si>
    <t xml:space="preserve">M2. </t>
  </si>
  <si>
    <t>Estimated Annual Safety Benefit:</t>
  </si>
  <si>
    <t xml:space="preserve">M3. </t>
  </si>
  <si>
    <t>What is the anticipated peak period travel time reduction (hours per AM or PM peak period)?</t>
  </si>
  <si>
    <t>hours per AM or PM peak</t>
  </si>
  <si>
    <t>Average vehicle occupancy (0.3).</t>
  </si>
  <si>
    <t>persons per vehicle</t>
  </si>
  <si>
    <t xml:space="preserve">M4. </t>
  </si>
  <si>
    <t>Estimated average travel time savings per year. Estimation assumes travel time savings is predominate during peak period weekday times.</t>
  </si>
  <si>
    <t>hours per year</t>
  </si>
  <si>
    <t xml:space="preserve">M5. </t>
  </si>
  <si>
    <t>Per capita income in past 12 months (0.4)</t>
  </si>
  <si>
    <t>Estimated Annual Mobility Benefit:</t>
  </si>
  <si>
    <t xml:space="preserve">P2. </t>
  </si>
  <si>
    <t>Is it anticipated that the proposed project will reduce travel time delay?</t>
  </si>
  <si>
    <t>gal / min</t>
  </si>
  <si>
    <t>gallons</t>
  </si>
  <si>
    <t>$ per gallon</t>
  </si>
  <si>
    <t>metric tons per gallon</t>
  </si>
  <si>
    <t>metric tons</t>
  </si>
  <si>
    <t>$ per metric ton</t>
  </si>
  <si>
    <t xml:space="preserve">E2. </t>
  </si>
  <si>
    <t xml:space="preserve">E3. </t>
  </si>
  <si>
    <t>Average fuel consumption reduction per year.</t>
  </si>
  <si>
    <t>Average Wisconsin fuel cost (GasBuddy.com).</t>
  </si>
  <si>
    <t>Average theoretical number of crashes at proposed intersection per type.</t>
  </si>
  <si>
    <t xml:space="preserve">E4. </t>
  </si>
  <si>
    <t xml:space="preserve">E5. </t>
  </si>
  <si>
    <t>Energy and Environment Benefit Subtotal:</t>
  </si>
  <si>
    <t xml:space="preserve">E6. </t>
  </si>
  <si>
    <t xml:space="preserve">E7. </t>
  </si>
  <si>
    <t xml:space="preserve">E8. </t>
  </si>
  <si>
    <t>Average CO2 emission reduction due to the proposed project.</t>
  </si>
  <si>
    <t>Energy and Environment Benefit:</t>
  </si>
  <si>
    <t>Estimated Annual Energy and Environment Benefit:</t>
  </si>
  <si>
    <t>Estimated Annual Benefit:</t>
  </si>
  <si>
    <t>Estimated Annual Productivity Benefit:</t>
  </si>
  <si>
    <t>Increased Maintenance</t>
  </si>
  <si>
    <t>6 months</t>
  </si>
  <si>
    <t>1 year</t>
  </si>
  <si>
    <t>3 years</t>
  </si>
  <si>
    <t>How many Cartegraph tickets have been required at this location over the length of time indicated above in P1?</t>
  </si>
  <si>
    <t>tickets</t>
  </si>
  <si>
    <t xml:space="preserve">P3. </t>
  </si>
  <si>
    <t>What was the total cost of these tickets?</t>
  </si>
  <si>
    <t xml:space="preserve">P5. </t>
  </si>
  <si>
    <t>Cost</t>
  </si>
  <si>
    <t>*we will have to ask Joanna to pull this information for us. I think we could pull an average over a 3 year period to be consistent with the question above.</t>
  </si>
  <si>
    <t>Tickets per 3 Years</t>
  </si>
  <si>
    <t xml:space="preserve">P6. </t>
  </si>
  <si>
    <t>Average number and ticket costs per the previous 3 year period per region.</t>
  </si>
  <si>
    <t>Annual average tickets per year and average cost per ticket.</t>
  </si>
  <si>
    <t>Annual Average Tickets</t>
  </si>
  <si>
    <t xml:space="preserve">P7. </t>
  </si>
  <si>
    <t>Expected annual maintenance cost at proposed project intersection prior to project implementation.</t>
  </si>
  <si>
    <t>Expected annual maintenance cost at proposed project intersection after project implementation.</t>
  </si>
  <si>
    <t>N/A</t>
  </si>
  <si>
    <t>Which traffic signal warrants are met at this intersection?</t>
  </si>
  <si>
    <t>How many signal heads are proposed to be replaced with LED lamps?</t>
  </si>
  <si>
    <t xml:space="preserve">P4. </t>
  </si>
  <si>
    <t>Average cost of energy in Wisconsin (6.2).</t>
  </si>
  <si>
    <t>$/kWh</t>
  </si>
  <si>
    <t>kWh per month</t>
  </si>
  <si>
    <t>Requested By:</t>
  </si>
  <si>
    <t xml:space="preserve">It is assumed that productivity benefits will be realized through reduced maintenance efforts. Estimate for how long maintenance efforts have been increasing at this intersection. </t>
  </si>
  <si>
    <r>
      <t xml:space="preserve">Briefly describe the anticipated </t>
    </r>
    <r>
      <rPr>
        <b/>
        <sz val="11"/>
        <color theme="1"/>
        <rFont val="Calibri"/>
        <family val="2"/>
        <scheme val="minor"/>
      </rPr>
      <t>safety</t>
    </r>
    <r>
      <rPr>
        <sz val="11"/>
        <color theme="1"/>
        <rFont val="Calibri"/>
        <family val="2"/>
        <scheme val="minor"/>
      </rPr>
      <t xml:space="preserve"> benefit of the proposed software upgrade.</t>
    </r>
  </si>
  <si>
    <t>Describe your methodology and assumptions in developing your estimation in S2. Provide any references and formulas used.</t>
  </si>
  <si>
    <r>
      <t xml:space="preserve">Provide an estimation of </t>
    </r>
    <r>
      <rPr>
        <b/>
        <sz val="11"/>
        <color theme="1"/>
        <rFont val="Calibri"/>
        <family val="2"/>
        <scheme val="minor"/>
      </rPr>
      <t>safety</t>
    </r>
    <r>
      <rPr>
        <sz val="11"/>
        <color theme="1"/>
        <rFont val="Calibri"/>
        <family val="2"/>
        <scheme val="minor"/>
      </rPr>
      <t xml:space="preserve"> benefit to be realized with the proposed software. This should only include benefit related directly to the software and not with any associated hardware.</t>
    </r>
  </si>
  <si>
    <r>
      <t xml:space="preserve">Briefly describe the anticipated </t>
    </r>
    <r>
      <rPr>
        <b/>
        <sz val="11"/>
        <color theme="1"/>
        <rFont val="Calibri"/>
        <family val="2"/>
        <scheme val="minor"/>
      </rPr>
      <t>mobility</t>
    </r>
    <r>
      <rPr>
        <sz val="11"/>
        <color theme="1"/>
        <rFont val="Calibri"/>
        <family val="2"/>
        <scheme val="minor"/>
      </rPr>
      <t xml:space="preserve"> benefit of the proposed software upgrade.</t>
    </r>
  </si>
  <si>
    <r>
      <t xml:space="preserve">Provide an estimation of </t>
    </r>
    <r>
      <rPr>
        <b/>
        <sz val="11"/>
        <color theme="1"/>
        <rFont val="Calibri"/>
        <family val="2"/>
        <scheme val="minor"/>
      </rPr>
      <t>mobility</t>
    </r>
    <r>
      <rPr>
        <sz val="11"/>
        <color theme="1"/>
        <rFont val="Calibri"/>
        <family val="2"/>
        <scheme val="minor"/>
      </rPr>
      <t xml:space="preserve"> benefit to be realized with the proposed software. This should only include benefit related directly to the software and not with any associated hardware.</t>
    </r>
  </si>
  <si>
    <t>Describe your methodology and assumptions in developing your estimation in M2. Provide any references and formulas used.</t>
  </si>
  <si>
    <r>
      <t xml:space="preserve">Briefly describe the anticipated </t>
    </r>
    <r>
      <rPr>
        <b/>
        <sz val="11"/>
        <color theme="1"/>
        <rFont val="Calibri"/>
        <family val="2"/>
        <scheme val="minor"/>
      </rPr>
      <t>productivity</t>
    </r>
    <r>
      <rPr>
        <sz val="11"/>
        <color theme="1"/>
        <rFont val="Calibri"/>
        <family val="2"/>
        <scheme val="minor"/>
      </rPr>
      <t xml:space="preserve"> benefit of the proposed software upgrade.</t>
    </r>
  </si>
  <si>
    <t>What is the estimated Staff hours saved per month due to the deployment of the proposed software project?</t>
  </si>
  <si>
    <t>Electrical Tech hours per month</t>
  </si>
  <si>
    <t>Engineer hours per month</t>
  </si>
  <si>
    <t>IT hours per month</t>
  </si>
  <si>
    <t>IT hourly wage</t>
  </si>
  <si>
    <t>Electrical Tech hourly wage</t>
  </si>
  <si>
    <t>Civil Engineer hourly wage</t>
  </si>
  <si>
    <t>Civil Engineer hours per month</t>
  </si>
  <si>
    <r>
      <t xml:space="preserve">Provide an estimation of </t>
    </r>
    <r>
      <rPr>
        <b/>
        <sz val="11"/>
        <color theme="1"/>
        <rFont val="Calibri"/>
        <family val="2"/>
        <scheme val="minor"/>
      </rPr>
      <t>energy and environment</t>
    </r>
    <r>
      <rPr>
        <sz val="11"/>
        <color theme="1"/>
        <rFont val="Calibri"/>
        <family val="2"/>
        <scheme val="minor"/>
      </rPr>
      <t xml:space="preserve"> benefit to be realized with the proposed software. This should only include benefit related directly to the software and not with any associated hardware.</t>
    </r>
  </si>
  <si>
    <t>Describe your methodology and assumptions in developing your estimation in E2. Provide any references and formulas used.</t>
  </si>
  <si>
    <t>Average fuel consumption per minute of idle time (1.2). It is assumed that the reduction in fuel consumption would be based primarily on the reduction of idle time. This is conservative because there would be fuel savings due to the smoother traffic progression.</t>
  </si>
  <si>
    <t>Average CO2 emitted per gallon of gasoline burned (1.3).</t>
  </si>
  <si>
    <t>Energy and Environment Benefit Subtotal (gasoline):</t>
  </si>
  <si>
    <t>Energy and Environment Benefit Subtotal (CO2):</t>
  </si>
  <si>
    <t>*there is a lot of debate over this number. I have saved several resources under 1.4 if anyone wants to use a different value.</t>
  </si>
  <si>
    <t>Average cost per metric ton of CO2 (1.4).</t>
  </si>
  <si>
    <t>If other, provide a brief description of improvement type.</t>
  </si>
  <si>
    <t>Signal Retrofit Type</t>
  </si>
  <si>
    <t>Flashing Yellow Arrows</t>
  </si>
  <si>
    <t>Minor Safety Improvements</t>
  </si>
  <si>
    <t>Adaptive Signal System</t>
  </si>
  <si>
    <t>Monotubes</t>
  </si>
  <si>
    <r>
      <t xml:space="preserve">Expected safety benefit per crash type </t>
    </r>
    <r>
      <rPr>
        <b/>
        <sz val="11"/>
        <color rgb="FFFF0000"/>
        <rFont val="Calibri"/>
        <family val="2"/>
        <scheme val="minor"/>
      </rPr>
      <t>(minor safety improvements)</t>
    </r>
    <r>
      <rPr>
        <sz val="11"/>
        <color theme="1"/>
        <rFont val="Calibri"/>
        <family val="2"/>
        <scheme val="minor"/>
      </rPr>
      <t>.</t>
    </r>
  </si>
  <si>
    <r>
      <t xml:space="preserve">Expected safety benefit per crash type for </t>
    </r>
    <r>
      <rPr>
        <b/>
        <sz val="11"/>
        <color rgb="FFFF0000"/>
        <rFont val="Calibri"/>
        <family val="2"/>
        <scheme val="minor"/>
      </rPr>
      <t>angle crashes (flashing yellow arrows)</t>
    </r>
    <r>
      <rPr>
        <sz val="11"/>
        <color theme="1"/>
        <rFont val="Calibri"/>
        <family val="2"/>
        <scheme val="minor"/>
      </rPr>
      <t xml:space="preserve">. It is assumed that no crash reduction is expected if the flashing yellow arrows are applied to a protected only movement. </t>
    </r>
  </si>
  <si>
    <t>Detection</t>
  </si>
  <si>
    <t xml:space="preserve">P8. </t>
  </si>
  <si>
    <t>Project Benefits - ITS Device Lifecycle Replacement</t>
  </si>
  <si>
    <t xml:space="preserve">It is assumed that productivity benefits will be realized through reduced maintenance efforts. Estimate for how long maintenance efforts have been increasing at the proposed device replacement location(s). </t>
  </si>
  <si>
    <t>Indicate number of intersections this request accounts for:</t>
  </si>
  <si>
    <t>How many Cartegraph tickets have been required at this location over the length of time indicated above in P1? (if request is for multiple intersections, include cumulative total here)</t>
  </si>
  <si>
    <t>Annual average savings lamp replacement cost per signal head. It is assumed that the incandescent lamp will need replaced once a year vs. LED lamp replacement of once every 7 years.</t>
  </si>
  <si>
    <t>Average power consumption of an incandescent signal head (6.1)</t>
  </si>
  <si>
    <t>Average power consumption savings of an LED signal head is 90% of an incandescent signal head.</t>
  </si>
  <si>
    <r>
      <t xml:space="preserve">Briefly describe the anticipated </t>
    </r>
    <r>
      <rPr>
        <b/>
        <sz val="11"/>
        <color theme="1"/>
        <rFont val="Calibri"/>
        <family val="2"/>
        <scheme val="minor"/>
      </rPr>
      <t>energy and environment</t>
    </r>
    <r>
      <rPr>
        <sz val="11"/>
        <color theme="1"/>
        <rFont val="Calibri"/>
        <family val="2"/>
        <scheme val="minor"/>
      </rPr>
      <t xml:space="preserve"> benefit of the proposed software upgrade.</t>
    </r>
  </si>
  <si>
    <t>Average crash reduction due to signal retiming (5.1).</t>
  </si>
  <si>
    <t>percent</t>
  </si>
  <si>
    <t>Average theoretical number of crashes at proposed intersection per type after signal re-timing.</t>
  </si>
  <si>
    <t>What is the current peak period delay for the proposed project intersection (hours per AM or PM peak period)?</t>
  </si>
  <si>
    <t>percent reduction</t>
  </si>
  <si>
    <t>Vehicles Entering</t>
  </si>
  <si>
    <t>&gt; 2,000 vehs entering the avg intersection</t>
  </si>
  <si>
    <t>&lt; 2,000 vehs entering the avg intersection</t>
  </si>
  <si>
    <t>How many Cartegraph tickets have been required at this location(s) over the length of time indicated above in P1?</t>
  </si>
  <si>
    <t>Energy and Environment benefits are determined based on average travel time reduction.</t>
  </si>
  <si>
    <t>Based on the nature of the Cartegraph tickets, estimate the percent ticket reduction that will occur after the proposed intersection(s) can be communicated with remotely.</t>
  </si>
  <si>
    <t>Percent Ticket Reduction</t>
  </si>
  <si>
    <t>Estimated percent ticket reduction based on user input.</t>
  </si>
  <si>
    <t>1 - 5</t>
  </si>
  <si>
    <t>6 - 15</t>
  </si>
  <si>
    <t>16 - 30</t>
  </si>
  <si>
    <t>31 - 50</t>
  </si>
  <si>
    <t>percent ticket reduction</t>
  </si>
  <si>
    <t>P5.</t>
  </si>
  <si>
    <t>If minor safety improvements or other, provide a brief description of the proposed improvements.</t>
  </si>
  <si>
    <t xml:space="preserve">S8a. </t>
  </si>
  <si>
    <t xml:space="preserve">S8b. </t>
  </si>
  <si>
    <t>Non-Intersection</t>
  </si>
  <si>
    <t>Travel Time Reduction</t>
  </si>
  <si>
    <t>Location Type</t>
  </si>
  <si>
    <t>ITS Device Type</t>
  </si>
  <si>
    <t>Slight</t>
  </si>
  <si>
    <t>Intersection</t>
  </si>
  <si>
    <t>Moderate</t>
  </si>
  <si>
    <t>Significant</t>
  </si>
  <si>
    <t>What is the anticipated cost of the project?</t>
  </si>
  <si>
    <t>Is this intersection located in an Urban or Rural area (Urban is an incorporated area with a population of 5,000 or greater)?</t>
  </si>
  <si>
    <t>Average Wisconsin fuel cost (GasBuddy.com, 0.0).</t>
  </si>
  <si>
    <t>remote software updates</t>
  </si>
  <si>
    <t>Work Order Avg Ticket Amount</t>
  </si>
  <si>
    <t>#</t>
  </si>
  <si>
    <t>Transportation System Management and Operations</t>
  </si>
  <si>
    <t>Procurement and installation of controllers, bases and signals.</t>
  </si>
  <si>
    <t>Project Benefits - DMS Installation</t>
  </si>
  <si>
    <t>New DMS Deployment.</t>
  </si>
  <si>
    <t>Replacement of signals including geometric improvements and upgrades for construction.</t>
  </si>
  <si>
    <t xml:space="preserve">Upgrade, install or replace detection, controllers, battery backup, etc. </t>
  </si>
  <si>
    <t>Procure and install monotubes, procure and install flashing yellow arrows, safety improvements not requiring major construction and adaptive signal systems.</t>
  </si>
  <si>
    <t>Data collection, evaluation, prepare signal timing plan, develop and implement corridor coordination plan to support 3 and 5 year timing schedule.</t>
  </si>
  <si>
    <t>Procure and install all materials for annual LED signal 7 year replacement cycle.</t>
  </si>
  <si>
    <t xml:space="preserve">Design-build and integrate fiber optic links between existing fiber infrastructure and signal systems, or procure and install cellular Ethernet modems. </t>
  </si>
  <si>
    <t>Project Benefits -Intersection Communication Expansion</t>
  </si>
  <si>
    <t>Upgrade, install or replace software.</t>
  </si>
  <si>
    <t>Enhanced Incident Management</t>
  </si>
  <si>
    <t>Annual average lamp replacement cost per intersection (source per Mark Lloyd Email).</t>
  </si>
  <si>
    <t>Estimated ticket cost for basic controller re-set (per Mark Lloyd email).</t>
  </si>
  <si>
    <t>Average Cost</t>
  </si>
  <si>
    <t xml:space="preserve">Average number and ticket costs per the previous 3 year period per region for an ITS Device Location (per Mark Lloyd email). </t>
  </si>
  <si>
    <t>Average Ticket Cost</t>
  </si>
  <si>
    <t>How many Cartegraph tickets have been required at this location(s) over the length of time indicated above in P1? (if request is for multiple intersections, include cumulative total here)</t>
  </si>
  <si>
    <t>National average wage by occupation type (8.1 and Mark Lloyd email).</t>
  </si>
  <si>
    <t>*assumes 0.25 tickets required a year.</t>
  </si>
  <si>
    <t>Is the proposed project expected to reduce the number of crashes at this intersection?</t>
  </si>
  <si>
    <t>What is the expected design and construction cost (total project cost)?</t>
  </si>
  <si>
    <t>Response</t>
  </si>
  <si>
    <t>Consideration</t>
  </si>
  <si>
    <t>If the location is prone to weather situations that travelers would not otherwise be forewarned about (e.g. spots where fog regularly forms, bridges that ice early, mountain passes with weather that differs from approaches).</t>
  </si>
  <si>
    <t>If there is available road weather information for the area downstream of the candidate DMS location.</t>
  </si>
  <si>
    <t>If there is the capability (either manually by staff members or automated through a condition reporting system) to create event specific descriptions of weather conditions to be displayed on the DMS.</t>
  </si>
  <si>
    <t>If there are options for either alternate routes or services, that might be described on the DMS, where travelers may wait out conditions.</t>
  </si>
  <si>
    <t>If flashing beacon signs have been tried and not proven to generate responses from travelers.</t>
  </si>
  <si>
    <t>Events occurring in the area unexpectedly impact or impede traffic (e.g. close a lane, encounter slow traffic in one or more lanes, or events on the shoulder) an average of at least two times per month.</t>
  </si>
  <si>
    <t>If there are acceptable alternate routes with capacity to accept vehicles that may deviate based upon the information.</t>
  </si>
  <si>
    <t>If the location is a stretch of road where no alternate route are possible and travelers would benefit from information describing the cause and/or extent of delays in order to relieve driver anxiety or confusion.</t>
  </si>
  <si>
    <t>If there are horizontal or vertical curves that create safety issues when traffic is stopped unexpectedly.</t>
  </si>
  <si>
    <t>The route being considered for the DMS has on average at least 2 hours per day of peak period travel where traffic flow exceeds 1,100 veh/hr/lane.</t>
  </si>
  <si>
    <t>The route being considered for the DMS experiences average annual daily traffic (AADT) of 16,800 for a 2 lane road; 33,600 for a 4 lane road; 50,400 for a 6 lane road, 67,200 for an 8 lane road.</t>
  </si>
  <si>
    <t>The candidate location is upstream of an area with construction or maintenance activities that are expected to cause at least 15 minutes of delay to the mainline traffic.</t>
  </si>
  <si>
    <t>If the candidate location is upstream of traffic control or construction/maintenance activities that are expected to change more frequently than once every 60 days.</t>
  </si>
  <si>
    <t>If the posted work zone speed limit is greater than 45 MPH.</t>
  </si>
  <si>
    <t>If the location contains a venue that houses ticketed events (typically with rapid and tight arrival patterns for a specified start time).</t>
  </si>
  <si>
    <t>If the event venue typically houses at least two weekday (M-F) ticketed event per week (including seasonal sporting events that only occur during the season).</t>
  </si>
  <si>
    <t>If the event venue typically houses at least 10 events per year attracting 30,000 visitors or more.</t>
  </si>
  <si>
    <t>If the setting of the venue is such that mainline traffic (not attending the event) is impacted by the conditions.</t>
  </si>
  <si>
    <t>If there are alternate parking or traffic options that could be displayed on signs to direct visitors to more preferred options.</t>
  </si>
  <si>
    <t>If the area contains ample parking to handle the regular visitors, either during commuter periods or special events.</t>
  </si>
  <si>
    <t>If the area contains a set of similar parking garages (similar parking costs) each with generally comparable ingress and egress and access to events (i.e. parking facilities are all generally equal options to select from).</t>
  </si>
  <si>
    <t>If visitors regularly are unable to find parking, and ‘circling the block’ occurs for more than 15 minutes during the AM commuter period or prior to special events, as visitors seek out parking spaces.</t>
  </si>
  <si>
    <t>If the area contains park-and-ride lots that fill to capacity on either a regular basis or during regularly occurring events (e.g. inclement weather, sporting events).</t>
  </si>
  <si>
    <t>If alternate park-and-ride lots are available (either upstream or downstream) that do not typically fill to capacity.</t>
  </si>
  <si>
    <t>New DMS deployment.</t>
  </si>
  <si>
    <t>W5, Parking Availability</t>
  </si>
  <si>
    <t>W6, Public Transportation</t>
  </si>
  <si>
    <t>DMS Warrant #4 - Special Events</t>
  </si>
  <si>
    <t>DMS Warrant #5 - Parking Availability</t>
  </si>
  <si>
    <t>DMS Warrant #5 is:</t>
  </si>
  <si>
    <t>DMS Warrant #6 - Transit Park and Ride Lot Availability</t>
  </si>
  <si>
    <t>DMS Warrant #6 is:</t>
  </si>
  <si>
    <t>Needs Identification</t>
  </si>
  <si>
    <t>Mobility (Present)</t>
  </si>
  <si>
    <t>LOW</t>
  </si>
  <si>
    <t>MEDIUM</t>
  </si>
  <si>
    <t>HIGH</t>
  </si>
  <si>
    <t>Project Justification - ITS Camera Warrants</t>
  </si>
  <si>
    <t>Based on your responses below, the following CCTV Camera Warrants have been met:</t>
  </si>
  <si>
    <t>There are typically periods of time at least twice per week of ‘loaded’ cycles (i.e. where the vehicles in the queue do not all dissipate in one green cycle) that last 15 minutes or longer.</t>
  </si>
  <si>
    <t>The signalized intersection has sufficient cross street traffic such that visual observation is needed determining if alternate signal timings are appropriate to benefit the primary direction of flow (i.e. in order to verify that the secondary street is not backing up).</t>
  </si>
  <si>
    <t>The operations personnel have the ability to activate special event timing plans remotely.</t>
  </si>
  <si>
    <t>The candidate location encounters incidents as frequently as twice per month for arterial streets or once per month for freeways.</t>
  </si>
  <si>
    <t>The incidents and events that occur on freeways typically cause delay to travelers of at least 15 minutes while the incident is active and has not been cleared.</t>
  </si>
  <si>
    <t>Incident location verification is needed by 911 dispatchers (e.g. large complex interchange where drivers don't know where they are, closely spaced interchanges).</t>
  </si>
  <si>
    <t>The location encounters average annual daily traffic (AADT) of 16,800 for a 2 lane road; 33,600 for a 4 lane road; 50,400 for a 6 lane road, 67,200 for an 8 lane road.</t>
  </si>
  <si>
    <t>The location encounters conditions considered Level of Service C.</t>
  </si>
  <si>
    <t>The location encounters at least 2 hours per day of peak period travel where traffic flow exceeds 1,100 veh/hr/lane.</t>
  </si>
  <si>
    <t>The location typically encounters at least 10 weather events each season.</t>
  </si>
  <si>
    <t>Weather events have a significant impact to travelers at this location (due to such circumstances as either: local terrain, lack of alternate routes, winding or steep routes), and it is a location that travelers are frequently concerned about.</t>
  </si>
  <si>
    <t>If nearby weather sensors would be enhanced through the capability of visual observation.</t>
  </si>
  <si>
    <t>If there are no nearby weather sensors reporting real-time conditions.</t>
  </si>
  <si>
    <t>If there are no regular manual observations and reports of visibility, precipitation, or pavement temperatures.</t>
  </si>
  <si>
    <t>The location visible by the camera image has a history of congestion on a regular basis (i.e. each commuter day is a candidate for congestion).</t>
  </si>
  <si>
    <t>The location is prone to weather situations that travelers would not otherwise be forewarned about (e.g. spots where fog regularly forms, bridges that ice early, mountain passes with weather that differs from approaches).</t>
  </si>
  <si>
    <t>The location is in a remote area that receives considerable traffic volume due to commercial vehicle traffic or recreational traffic.</t>
  </si>
  <si>
    <t>The majority of travelers to the area have Internet access in proximity to the area where camera images are of value to travelers prior to departure.</t>
  </si>
  <si>
    <t>The proper operations of the device can be remotely monitored by a camera.</t>
  </si>
  <si>
    <t>The failure of the device presents a safety hazard.</t>
  </si>
  <si>
    <t>The camera operation would avoid unnecessary trips to verify functionality of the field device.</t>
  </si>
  <si>
    <t>The alignment or traffic control that is visible by a camera image is expected to change periodically during the construction period.</t>
  </si>
  <si>
    <t>The construction zone encounters periods of queues or delays for at least 30 minutes each day.</t>
  </si>
  <si>
    <t>The construction zone is in a location where there is not a convenient alternate route for the majority of traffic to deviate from the typical route.</t>
  </si>
  <si>
    <t>What is the anticipated cost of the project (total design, construction, and communication cost)?</t>
  </si>
  <si>
    <t>The route being considered for the DMS has on average experienced conditions considered Level of Service C.</t>
  </si>
  <si>
    <t>New Camera deployment.</t>
  </si>
  <si>
    <t>Estimated Benefit/Cost Ratio:</t>
  </si>
  <si>
    <t>Estimate the average duration (minutes) of traffic events that occur and will be positively effected by use of the proposed DMS.</t>
  </si>
  <si>
    <t>minutes</t>
  </si>
  <si>
    <t>events per year</t>
  </si>
  <si>
    <r>
      <t xml:space="preserve">Estimate the </t>
    </r>
    <r>
      <rPr>
        <u/>
        <sz val="11"/>
        <color theme="1"/>
        <rFont val="Calibri"/>
        <family val="2"/>
        <scheme val="minor"/>
      </rPr>
      <t>average</t>
    </r>
    <r>
      <rPr>
        <sz val="11"/>
        <color theme="1"/>
        <rFont val="Calibri"/>
        <family val="2"/>
        <scheme val="minor"/>
      </rPr>
      <t xml:space="preserve"> number of traffic events that occur per year that will be positively effected by use of the proposed DMS.</t>
    </r>
  </si>
  <si>
    <t>veh per day</t>
  </si>
  <si>
    <t>The WI study actually says 68 and 72 percent. However, I conservatively only used the percentage of people who reported adjusting their routes more than 5 times a month.</t>
  </si>
  <si>
    <t>Estimate the average travel time savings from adjusting one's route based on direction given on the proposed DMS.</t>
  </si>
  <si>
    <t>vehicles</t>
  </si>
  <si>
    <t>Average number of travelers (vehicles) who adjust their routes per event:</t>
  </si>
  <si>
    <t>hours</t>
  </si>
  <si>
    <t>Value of Travel Time Savings per FHWA (0.4)</t>
  </si>
  <si>
    <t>M1.</t>
  </si>
  <si>
    <t>M2.</t>
  </si>
  <si>
    <t>M3.</t>
  </si>
  <si>
    <t>M4.</t>
  </si>
  <si>
    <t>M5.</t>
  </si>
  <si>
    <t>M6.</t>
  </si>
  <si>
    <t>per hour TTS</t>
  </si>
  <si>
    <r>
      <t xml:space="preserve">Provide the current </t>
    </r>
    <r>
      <rPr>
        <b/>
        <i/>
        <sz val="11"/>
        <color theme="1"/>
        <rFont val="Calibri"/>
        <family val="2"/>
        <scheme val="minor"/>
      </rPr>
      <t>directional</t>
    </r>
    <r>
      <rPr>
        <sz val="11"/>
        <color theme="1"/>
        <rFont val="Calibri"/>
        <family val="2"/>
        <scheme val="minor"/>
      </rPr>
      <t xml:space="preserve"> AADT along the corridor where the proposed DMS will be deployed (the Needs Analysis Tool may be used to obtain the value).</t>
    </r>
  </si>
  <si>
    <t>*Assumes that 80% of traffic will occur in 17 hours of the day based on average traffic distribution provided in source.</t>
  </si>
  <si>
    <t>Average travel time savings per event:</t>
  </si>
  <si>
    <t>Average travel time savings per year:</t>
  </si>
  <si>
    <t xml:space="preserve">Estimated average travel time savings per year. </t>
  </si>
  <si>
    <t>Value of Travel Time Savings per FHWA (0.4).</t>
  </si>
  <si>
    <t>Region2</t>
  </si>
  <si>
    <t>signal timing benefits</t>
  </si>
  <si>
    <t>incident verification/management</t>
  </si>
  <si>
    <t>How many intersections are proposed to be replaced with LED lamps?</t>
  </si>
  <si>
    <t>Indicate number of locations this request accounts for:</t>
  </si>
  <si>
    <t>*this uses an average BTO ticket. We think $1,200 is high.</t>
  </si>
  <si>
    <t>productivity</t>
  </si>
  <si>
    <t>W1, Signal Control</t>
  </si>
  <si>
    <t>W2, Traffic Incident</t>
  </si>
  <si>
    <t>W3, Weather Verification</t>
  </si>
  <si>
    <t>W4, Traveler Information</t>
  </si>
  <si>
    <t>W5, Field Device Verification</t>
  </si>
  <si>
    <t>W6, Workzone</t>
  </si>
  <si>
    <t>signal timing</t>
  </si>
  <si>
    <t>Productivity Benefits (W5)</t>
  </si>
  <si>
    <t>Mobility Benefits (W1, W2, W3, W4, W6)</t>
  </si>
  <si>
    <t>Energy and Environment Benefits (W1, W2, W3, W4, W6)</t>
  </si>
  <si>
    <t>Approximate percentage of travelers who adjusted their travel routes based on information provided by DMS (10.5).</t>
  </si>
  <si>
    <t>P4.</t>
  </si>
  <si>
    <t>What is the total number of replacement locations?</t>
  </si>
  <si>
    <t xml:space="preserve">S3 (W1). </t>
  </si>
  <si>
    <t>Estimated Annual Safety Benefit (W1):</t>
  </si>
  <si>
    <t>Average percent reduction of secondary crashes (10.2).</t>
  </si>
  <si>
    <t>Average percent of crashes that are secondary crashes (10.2).</t>
  </si>
  <si>
    <t xml:space="preserve">S4 (W1). </t>
  </si>
  <si>
    <t xml:space="preserve">S5 (W1). </t>
  </si>
  <si>
    <t xml:space="preserve">*found to reduce secondary crashes by 30 - 50 percent. We have taken an average. </t>
  </si>
  <si>
    <t>Provide the anticipated level of need in the vicinity of the proposed project using the following Needs Analysis Tool presets:</t>
  </si>
  <si>
    <t>*2009 dollars and an average of local and intercity to be conservative.</t>
  </si>
  <si>
    <t>Average number of vehicles offered the opportunity to adjust route per event (10.4):</t>
  </si>
  <si>
    <t>*I found a different rate (1.67) from USDOT from 2009 census, but I believe it also includes addition vehicle types (i.e. vans). Hence the higher rate.</t>
  </si>
  <si>
    <t xml:space="preserve">M1 (W1). </t>
  </si>
  <si>
    <t>Estimated Annual Mobility Benefit (W1):</t>
  </si>
  <si>
    <t>Estimate the average duration (minutes) of the traffic events that occur within site distance of the propoesed camera.</t>
  </si>
  <si>
    <r>
      <t xml:space="preserve">Estimate the </t>
    </r>
    <r>
      <rPr>
        <u/>
        <sz val="11"/>
        <color theme="1"/>
        <rFont val="Calibri"/>
        <family val="2"/>
        <scheme val="minor"/>
      </rPr>
      <t>average</t>
    </r>
    <r>
      <rPr>
        <sz val="11"/>
        <color theme="1"/>
        <rFont val="Calibri"/>
        <family val="2"/>
        <scheme val="minor"/>
      </rPr>
      <t xml:space="preserve"> number of traffic events that occur per year within site distance of the proposed camera.</t>
    </r>
  </si>
  <si>
    <t>Provide the current AADT along the corridor where the proposed camera will be deployed (the Needs Analysis Tool may be used to obtain the value).</t>
  </si>
  <si>
    <t>Average number of vehicles positively affected by the reduction of incident duration (i.e. number of vehicles that can be expected to be within the corridor during the reduced duration period) (10.4):</t>
  </si>
  <si>
    <t>Average percent reduced incident duration due to incident management (10.2).</t>
  </si>
  <si>
    <t>min per incident</t>
  </si>
  <si>
    <t>Average reduced incident duration due to incident management per event.</t>
  </si>
  <si>
    <t>vehicles per incident</t>
  </si>
  <si>
    <t>A</t>
  </si>
  <si>
    <t>B</t>
  </si>
  <si>
    <t>C</t>
  </si>
  <si>
    <t>D</t>
  </si>
  <si>
    <t>E</t>
  </si>
  <si>
    <t>F</t>
  </si>
  <si>
    <t>Corresponding Delay (s)</t>
  </si>
  <si>
    <t>What is the estimated ADT for for all vehicles entering the intersection?</t>
  </si>
  <si>
    <t>vehicles per day</t>
  </si>
  <si>
    <t>LOS</t>
  </si>
  <si>
    <t>M7.</t>
  </si>
  <si>
    <t>Estimated volume impacted by delay reduction</t>
  </si>
  <si>
    <t>Assumes 10% of ADT during worst hour.</t>
  </si>
  <si>
    <t>M8.</t>
  </si>
  <si>
    <t>Average delay reduction per vehicle (s).</t>
  </si>
  <si>
    <t>Average delay per vehicle at future LOS (s)</t>
  </si>
  <si>
    <t>person-hours per year</t>
  </si>
  <si>
    <t>persons/veh * veh/day * days/week * weeks/year * s * 1 hr/3600 s</t>
  </si>
  <si>
    <t>sec</t>
  </si>
  <si>
    <t>M9.</t>
  </si>
  <si>
    <t>M10.</t>
  </si>
  <si>
    <t>Average delay per vehicle at current Relative Need (s)</t>
  </si>
  <si>
    <t>come back to this one.</t>
  </si>
  <si>
    <t>M2 (W1).</t>
  </si>
  <si>
    <t>Average delay per vehicle at current Relative Need (s):</t>
  </si>
  <si>
    <t>M3 (W1).</t>
  </si>
  <si>
    <t>M4 (W1).</t>
  </si>
  <si>
    <t>M5 (W1).</t>
  </si>
  <si>
    <t>M6 (W1).</t>
  </si>
  <si>
    <t>M7 (W1).</t>
  </si>
  <si>
    <t>M8 (W1).</t>
  </si>
  <si>
    <t>M9 (W1).</t>
  </si>
  <si>
    <t>M10 (W1).</t>
  </si>
  <si>
    <t>work zone</t>
  </si>
  <si>
    <t>incident management if fully warranted; 25% of benefits if not</t>
  </si>
  <si>
    <t>Average total time savings per vehicle due to incident management in this location per year.</t>
  </si>
  <si>
    <t>Estimated volume impacted by delay reduction.</t>
  </si>
  <si>
    <t>Average delay per vehicle at future LOS (s).</t>
  </si>
  <si>
    <t>Estimated average travel time savings per year per vehicle. Estimation assumes travel time savings is predominate during peak period weekday times.</t>
  </si>
  <si>
    <t>vehicle hours per year</t>
  </si>
  <si>
    <t xml:space="preserve"> veh/day * days/week * weeks/year * s * 1 hr/3600 s</t>
  </si>
  <si>
    <t>Estimate the average duration (minutes) of traffic events (due to weather or incidents) that occur and will be positively affected by use of the proposed DMS.</t>
  </si>
  <si>
    <t>Mobility Benefits (W1, W2, W3, W4)</t>
  </si>
  <si>
    <r>
      <t xml:space="preserve">Estimate the </t>
    </r>
    <r>
      <rPr>
        <u/>
        <sz val="11"/>
        <color theme="1"/>
        <rFont val="Calibri"/>
        <family val="2"/>
        <scheme val="minor"/>
      </rPr>
      <t>average</t>
    </r>
    <r>
      <rPr>
        <sz val="11"/>
        <color theme="1"/>
        <rFont val="Calibri"/>
        <family val="2"/>
        <scheme val="minor"/>
      </rPr>
      <t xml:space="preserve"> number of traffic/weather/special events that occur per year that will be positively affected by use of the proposed DMS.</t>
    </r>
  </si>
  <si>
    <t>Default TIP</t>
  </si>
  <si>
    <t>Mobility (Future)</t>
  </si>
  <si>
    <t>Service</t>
  </si>
  <si>
    <t>Freight Performance</t>
  </si>
  <si>
    <t>What is the average Relative Need at this intersection according to the Needs Assessment Tool - Service preset?</t>
  </si>
  <si>
    <t>What is the estimated ADT for for all vehicles entering the intersection (the Needs Assessment Tool can be used to add the bi-directional traffic along the intersecting roadways)?</t>
  </si>
  <si>
    <t>Estimated average vehicle travel time savings per year. Estimation assumes travel time savings is predominate during peak period weekday times.</t>
  </si>
  <si>
    <t>Estimated average vehicular travel time savings per year. Estimation assumes travel time savings is predominate during peak period weekday times.</t>
  </si>
  <si>
    <t>Average delay reduction due to signal retiming (5.1).</t>
  </si>
  <si>
    <r>
      <t xml:space="preserve">Estimate the </t>
    </r>
    <r>
      <rPr>
        <u/>
        <sz val="11"/>
        <color theme="1"/>
        <rFont val="Calibri"/>
        <family val="2"/>
        <scheme val="minor"/>
      </rPr>
      <t>average</t>
    </r>
    <r>
      <rPr>
        <sz val="11"/>
        <color theme="1"/>
        <rFont val="Calibri"/>
        <family val="2"/>
        <scheme val="minor"/>
      </rPr>
      <t xml:space="preserve"> number of traffic events that occur per year within site distance of the proposed camera(s).</t>
    </r>
  </si>
  <si>
    <t>[Warrant Analysis]</t>
  </si>
  <si>
    <t>Safety Benefits (W1, W2, W3, W6)</t>
  </si>
  <si>
    <t xml:space="preserve">S3 (W2, W3, W6). </t>
  </si>
  <si>
    <t>S3.1 (W2, W3, W6).</t>
  </si>
  <si>
    <t xml:space="preserve">S5 (W2, W3, W6). </t>
  </si>
  <si>
    <t>M1 (W2, W3, W4, W6).</t>
  </si>
  <si>
    <t>M2 (W2, W3, W4, W6).</t>
  </si>
  <si>
    <t>M3 (W2, W3, W4, W6).</t>
  </si>
  <si>
    <t>M4 (W2, W3, W4, W6).</t>
  </si>
  <si>
    <t>M5 (W2, W3, W4, W6).</t>
  </si>
  <si>
    <t>M6 (W2, W3, W4, W6).</t>
  </si>
  <si>
    <t xml:space="preserve">M7 (W2, W3, W4, W6). </t>
  </si>
  <si>
    <t xml:space="preserve">M8 (W2, W3, W4, W6). </t>
  </si>
  <si>
    <t xml:space="preserve">M9 (W2, W3, W4, W6). </t>
  </si>
  <si>
    <t>Estimated Annual Mobility Benefit (W2, W3, W4, W6):</t>
  </si>
  <si>
    <t>How many crashes, by type, occurred in the past year at this intersection(s)?</t>
  </si>
  <si>
    <t>Is the proposed signal retiming project expected to reduce the number of crashes at this intersection?</t>
  </si>
  <si>
    <r>
      <t xml:space="preserve">Provide a cost estimation of </t>
    </r>
    <r>
      <rPr>
        <b/>
        <sz val="11"/>
        <color theme="1"/>
        <rFont val="Calibri"/>
        <family val="2"/>
        <scheme val="minor"/>
      </rPr>
      <t>safety</t>
    </r>
    <r>
      <rPr>
        <sz val="11"/>
        <color theme="1"/>
        <rFont val="Calibri"/>
        <family val="2"/>
        <scheme val="minor"/>
      </rPr>
      <t xml:space="preserve"> benefit to be realized with the proposed software. This should only include benefit related directly to the software and not with any associated hardware.</t>
    </r>
  </si>
  <si>
    <r>
      <t xml:space="preserve">Provide a cost estimation of </t>
    </r>
    <r>
      <rPr>
        <b/>
        <sz val="11"/>
        <color theme="1"/>
        <rFont val="Calibri"/>
        <family val="2"/>
        <scheme val="minor"/>
      </rPr>
      <t>mobility</t>
    </r>
    <r>
      <rPr>
        <sz val="11"/>
        <color theme="1"/>
        <rFont val="Calibri"/>
        <family val="2"/>
        <scheme val="minor"/>
      </rPr>
      <t xml:space="preserve"> benefit to be realized with the proposed software. This should only include benefit related directly to the software and not with any associated hardware.</t>
    </r>
  </si>
  <si>
    <r>
      <t xml:space="preserve">Provide a cost estimation of </t>
    </r>
    <r>
      <rPr>
        <b/>
        <sz val="11"/>
        <color theme="1"/>
        <rFont val="Calibri"/>
        <family val="2"/>
        <scheme val="minor"/>
      </rPr>
      <t>energy and environment</t>
    </r>
    <r>
      <rPr>
        <sz val="11"/>
        <color theme="1"/>
        <rFont val="Calibri"/>
        <family val="2"/>
        <scheme val="minor"/>
      </rPr>
      <t xml:space="preserve"> benefit to be realized with the proposed software. This should only include benefit related directly to the software and not with any associated hardware.</t>
    </r>
  </si>
  <si>
    <t>If the target area is monitored by CCTV cameras, traffic detectors, or another method of monitoring the conditions, or has travel times for the downstream stretch of road.</t>
  </si>
  <si>
    <t>Estimate the average duration (minutes) of the traffic events that occur within site distance of the proposed camera.</t>
  </si>
  <si>
    <t>The incidents and events that occur on arterials typically impact travel such that the signal progression is no longer occurring and vehicles in queues are unable to clear intersections during the cycle's allotted green time.</t>
  </si>
  <si>
    <t>Using each of the following Needs Analysis Tool presets, provide the anticipated level of need in the vicinity of the proposed project:</t>
  </si>
  <si>
    <t>What is the estimated ADT for  all vehicles entering the intersection (the Needs Analysis Tool can be used to add the bi-directional traffic along the intersecting roadways)?</t>
  </si>
  <si>
    <t>What is the average Relative Need at this intersection according to the Needs Analysis Tool - Service preset?</t>
  </si>
  <si>
    <t>P3.</t>
  </si>
  <si>
    <t>If there is a need to disseminate event specific descriptions (rather than simply activating a flashing warning sign that says "Weather Alert When Flashing").</t>
  </si>
  <si>
    <t>If weather events contribute to a significant number of crashes or road closures which have major impacts to travelers.</t>
  </si>
  <si>
    <t>Is this intersection located in an Urban or Rural area (Urban is defined as an incorporated area with a population of 5,000 or greater)?</t>
  </si>
  <si>
    <t>Average delay per vehicle at current Relative Need (s).</t>
  </si>
  <si>
    <t>Indicate whether there is expected to be a Productivity benefit as a result of this project.</t>
  </si>
  <si>
    <t>How many Cartegraph tickets have been required at this location over the length of time indicated above in P1 (if request is for multiple intersections, include cumulative total here)?</t>
  </si>
  <si>
    <t>Operator hourly wage</t>
  </si>
  <si>
    <t>Operator hours per month</t>
  </si>
  <si>
    <t>**Ask if Mark or Dan has this wage</t>
  </si>
  <si>
    <t>DMS Warrant #3 - Changing Traffic Control or Conditions (Work Zone)</t>
  </si>
  <si>
    <t>Estimated Annual Safety Benefit (W2, W3, W6):</t>
  </si>
  <si>
    <t>Transportation System Management and Operations - Traffic Infrastructure Process</t>
  </si>
  <si>
    <t>Anticipated Data Source</t>
  </si>
  <si>
    <t>Data Request</t>
  </si>
  <si>
    <t>Project Type</t>
  </si>
  <si>
    <t>New Signal</t>
  </si>
  <si>
    <t>Signal Replacement</t>
  </si>
  <si>
    <t>Signal Rehab</t>
  </si>
  <si>
    <t>Signal Retiming</t>
  </si>
  <si>
    <t>LED Replacement</t>
  </si>
  <si>
    <t>Software</t>
  </si>
  <si>
    <t>ITS Device Replacement</t>
  </si>
  <si>
    <t>Camera</t>
  </si>
  <si>
    <t>Project Specific Description</t>
  </si>
  <si>
    <t>X</t>
  </si>
  <si>
    <t>ITS Warrant Information</t>
  </si>
  <si>
    <t>Urban/Rural</t>
  </si>
  <si>
    <t>Estimated</t>
  </si>
  <si>
    <t>Asset Management / Maintenance Reports</t>
  </si>
  <si>
    <t>Maintenance Tickets and Cost</t>
  </si>
  <si>
    <t>Needs Analysis Tool</t>
  </si>
  <si>
    <t xml:space="preserve">Crash Data by Type </t>
  </si>
  <si>
    <t>Average Vehicles Entering Intersection</t>
  </si>
  <si>
    <t>Average Daily Traffic Volumes Per Area</t>
  </si>
  <si>
    <t>Introduction:</t>
  </si>
  <si>
    <t>User Instruction:</t>
  </si>
  <si>
    <t>User Resources:</t>
  </si>
  <si>
    <t>Select the appropriate tab based on your project type. Provide project specific responses for each of the questions as appropriate. It should be noted that this analysis is a generalized, estimated approach to considering potential monetary benefits. It is expected that some responses will be estimates based on the users knowledge of the project and location.</t>
  </si>
  <si>
    <t>User Response</t>
  </si>
  <si>
    <t>What is the anticipated peak period travel time reduction per vehicle?</t>
  </si>
  <si>
    <t>seconds per vehicle</t>
  </si>
  <si>
    <t>What is the anticipated average peak period travel time reduction per vehicle?</t>
  </si>
  <si>
    <t>*assumed .1 peak hour and only considered weekdays.</t>
  </si>
  <si>
    <t>The 'Data Needs' tab may be referenced to determine where each of the data requests may be obtained. Data sources include the Needs Analysis Tool, readily available information from the User, User estimated values, and asset management/maintenance information. For any questions or concerns, contact Mark Lloyd (mark.lloyd@dot.wi.gov) or Natalie Mengelkoch (natalie.mengelkoch@kimley-horn.com).</t>
  </si>
  <si>
    <t>Project Information</t>
  </si>
  <si>
    <t>¨</t>
  </si>
  <si>
    <t>TOPS Lab (UW)</t>
  </si>
  <si>
    <t>Project Team</t>
  </si>
  <si>
    <t>specify:</t>
  </si>
  <si>
    <t>State Patrol</t>
  </si>
  <si>
    <t>Other Agencies:</t>
  </si>
  <si>
    <t>Local Agencies</t>
  </si>
  <si>
    <t>Briefly describe the proposed project. Please include the purpose and any relevant information.</t>
  </si>
  <si>
    <t xml:space="preserve">Identify any stakeholders who have been involved with the development of this project. </t>
  </si>
  <si>
    <t>Briefly describe the outcome of the collaboration identified above.</t>
  </si>
  <si>
    <t>Please provide any further information that will be relevant when considering this project.</t>
  </si>
  <si>
    <t>Regional Stakeholders</t>
  </si>
  <si>
    <t>BTO Stakeholders</t>
  </si>
  <si>
    <t>Project Benefits - Data Needs</t>
  </si>
  <si>
    <t>Project Benefits Analysis</t>
  </si>
  <si>
    <t>Project Benefits - Other</t>
  </si>
  <si>
    <t>Events per Year</t>
  </si>
  <si>
    <t>Average Event Duration</t>
  </si>
  <si>
    <t xml:space="preserve">Average Travel Time Savings </t>
  </si>
  <si>
    <t>Benefit Estimation Parameters</t>
  </si>
  <si>
    <t>Description</t>
  </si>
  <si>
    <t>Value</t>
  </si>
  <si>
    <t>Source</t>
  </si>
  <si>
    <t>Average CO2 emitted per gallon of gasoline burned (1.3)</t>
  </si>
  <si>
    <t>Metric tons per gallon</t>
  </si>
  <si>
    <t>Rural Crash Rate (per MEV)</t>
  </si>
  <si>
    <t>Urban Crash Rate (per MEV)</t>
  </si>
  <si>
    <t>Average cost per metric ton of C02</t>
  </si>
  <si>
    <t>Fuel consumption per idle time (gallons / min)</t>
  </si>
  <si>
    <t>Fuel cost ($ per gallon)</t>
  </si>
  <si>
    <t>$ per hour TTS</t>
  </si>
  <si>
    <t>Average vehicle occupancy (0.3)</t>
  </si>
  <si>
    <t>Mobility Parameters</t>
  </si>
  <si>
    <t>Average number of maintenance tickets per year and average cost per ticket by region</t>
  </si>
  <si>
    <t>Number of Tickets</t>
  </si>
  <si>
    <t>Safety Parameters</t>
  </si>
  <si>
    <t>Average crash reduction due to signal retiming (5.1)</t>
  </si>
  <si>
    <t>Productivity Parameters</t>
  </si>
  <si>
    <t>Environmental Parameters</t>
  </si>
  <si>
    <t>$ per kWh</t>
  </si>
  <si>
    <t>Average crash reduction along a coordinated corridor (7.1)</t>
  </si>
  <si>
    <t>$ per year</t>
  </si>
  <si>
    <t>Average percent of crashes that are secondary crashes (10.2)</t>
  </si>
  <si>
    <t>Average percent reduction of secondary crashes (10.2)</t>
  </si>
  <si>
    <t>Average percent reduced incident duration due to incident management (10.2)</t>
  </si>
  <si>
    <t>Approximate percentage of travelers who will adjust their travel route based on information provided by DMS (10.5)</t>
  </si>
  <si>
    <t>Average cost of energy in Wisconsin (6.2)</t>
  </si>
  <si>
    <t>$ / intersection</t>
  </si>
  <si>
    <t>Operations and Maintenance Considerations</t>
  </si>
  <si>
    <t>Indicate whether the following operations and maintenance items have been considered:</t>
  </si>
  <si>
    <t>Who – Who are the stakeholders involved with the system?</t>
  </si>
  <si>
    <t>What – What are the elements and the high-level capabilities of the system?</t>
  </si>
  <si>
    <t>Where – What is the geographic and physical extent of the system?</t>
  </si>
  <si>
    <t>When – What is the sequence of activities that will be performed?</t>
  </si>
  <si>
    <t>Why – What is the problem or opportunity addressed by the system?</t>
  </si>
  <si>
    <t>How – How will the system be developed?</t>
  </si>
  <si>
    <t>What – What existing networks will be affected by the system?</t>
  </si>
  <si>
    <t>Indicate any further information that will be helpful to document pertaining to operations and maintenance of the proposed deployment:</t>
  </si>
  <si>
    <t xml:space="preserve">How – How will the system be maintained? Are there available resources to take on this responsibility or will additional resources be required? </t>
  </si>
  <si>
    <t>How – How will the system be operated? Are there available resources to take on this responsibility or will additional resources be required? Will additional training be required?</t>
  </si>
  <si>
    <t>Documentation Checklist</t>
  </si>
  <si>
    <t>Project Information Sheet</t>
  </si>
  <si>
    <t>Project Needs Maps</t>
  </si>
  <si>
    <t>Project Needs Reports</t>
  </si>
  <si>
    <t>Project Operations and Maintenance Considerations</t>
  </si>
  <si>
    <t xml:space="preserve">Project Benefit Analysis </t>
  </si>
  <si>
    <t>Any supporting information as deemed necessary</t>
  </si>
  <si>
    <t>Each of the following items should be completed and included in the potential project documentation package. Upload one combined PDF with all documentation in the appropriate regional SharePoint folder. The file should be named by the convention: Region_Project Name_Contact_date.pdf</t>
  </si>
  <si>
    <t>Annual Maintenance Cost</t>
  </si>
  <si>
    <t>What is the anticipated percent reduction of maintenance tickets due to the proposed project?</t>
  </si>
  <si>
    <t xml:space="preserve">P9. </t>
  </si>
  <si>
    <t>Expected annual maintenance cost at proposed project intersection AFTER project implementation.</t>
  </si>
  <si>
    <t>Provide the current AADT along the corridor where the proposed camera will be deployed (the Needs Analysis Tool may be used to obtain the value - note that volume is reported per roadway and not bi-directional).</t>
  </si>
  <si>
    <t>What is the estimated AADT for all vehicles entering the intersection (the Needs Analysis Tool may be used to obtain the value - note that volume is reported per roadway and not bi-directional)?</t>
  </si>
  <si>
    <t>Provide the current AADT along the corridor where the proposed DMS will be deployed (the Needs Analysis Tool may be used to obtain the value - note that volume is reported per roadway and not bi-directional).</t>
  </si>
  <si>
    <t>What is the estimated ADT for  all vehicles entering the intersection (the Needs Analysis Tool can be used to add the traffic entering the intersection - note that volume is reported per roadway and not bi-directional)?</t>
  </si>
  <si>
    <t>What is the estimated ADT for  all vehicles entering the intersection (the Needs Analysis Tool can be used to add the traffic entering the intersection - note that volume is reported per roadway and not bi-directional))?</t>
  </si>
  <si>
    <t>What is the estimated ADT for  all vehicles entering the intersection (the Needs Analysis Tool can be used to add the traffic entering - note that volume is reported per roadway and not bi-directional))?</t>
  </si>
  <si>
    <t>Communication Expansion</t>
  </si>
  <si>
    <t>Using each of the following Needs Analysis Tool presets, provide the anticipated level of need in the vicinity of the proposed project (Project Information sheet will populate these cells):</t>
  </si>
  <si>
    <t>Provide the anticipated level of need in the vicinity of the proposed project using the following Needs Analysis Tool presets (Project Information sheet will populate these cells):</t>
  </si>
  <si>
    <t>51 - 75</t>
  </si>
  <si>
    <t>76 - 95</t>
  </si>
  <si>
    <t xml:space="preserve">The project justification tool has been developed to assess and quantify potential monetary benefits per project type. The project justification tool uses readily available project specific data from the user and industry research to estimate potential project benefits. Project types include: communication, software, ITS device replacement, and ITS device deployment. 
Several types of project benefits are considered for each project type: safety, mobility, productivity, and energy and environment. These estimated project benefits are then compared to the estimated total project cost. This methodology provides a clear and transparent manner in which to justify a specific project, reducing concerns of inefficient use of funding resources.
</t>
  </si>
  <si>
    <t>Wireless/Cellular to Fiber Expansion</t>
  </si>
  <si>
    <t>It is assumed that productivity benefits will be realized through communications expansion through the ability to access devices remotely or maintaining redundancy in the event that the primary communication path is unavailable.</t>
  </si>
  <si>
    <t>Project Benefits - Communication Expansion</t>
  </si>
  <si>
    <t>Based on the nature of the Cartegraph tickets, estimate the percent ticket reduction that will occur after the proposed location(s) can be communicated with remotely.</t>
  </si>
  <si>
    <t>estimated total ticket cost</t>
  </si>
  <si>
    <t>P6.</t>
  </si>
  <si>
    <t xml:space="preserve">What is the estimated cost of the number of tickets indicated above? If unknown, a regional average is provided as a guide to determine the total maintenance ticket cost. </t>
  </si>
  <si>
    <t>average total ticket cost
(based on Region and number of tickets indicated above)</t>
  </si>
  <si>
    <t xml:space="preserve">It is assumed that productivity benefits will be realized through reduced maintenance efforts (i.e. being able to access a device remotely or reduced maintenance in the event of a primary outage). Estimate for how long maintenance efforts have been increasing at this location(s). </t>
  </si>
  <si>
    <t>annual benefit from reduced maintenance</t>
  </si>
  <si>
    <t>Estimated reduced annual cost based on user input.</t>
  </si>
  <si>
    <t>Will this installation of communication infrastructure provide a redundant link?</t>
  </si>
  <si>
    <t>PARTIAL</t>
  </si>
  <si>
    <t>Indicate any integration that will be required with this proposed deployment.</t>
  </si>
  <si>
    <t>Based on the portion of the network that is provided redundancy with this link, how would you rate the importance of this link?</t>
  </si>
  <si>
    <t>Link Importance</t>
  </si>
  <si>
    <t>Critical</t>
  </si>
  <si>
    <t>Somewhat Critical</t>
  </si>
  <si>
    <t>Important</t>
  </si>
  <si>
    <t xml:space="preserve">P3.1. </t>
  </si>
  <si>
    <t xml:space="preserve">P3.2. </t>
  </si>
  <si>
    <t xml:space="preserve">P4.1. </t>
  </si>
  <si>
    <t xml:space="preserve">P4.2. </t>
  </si>
  <si>
    <t>P7.</t>
  </si>
  <si>
    <t>Approximately how many outages are experienced per year that will benefit from this redundant link?</t>
  </si>
  <si>
    <t>outages per year</t>
  </si>
  <si>
    <t>P7.1</t>
  </si>
  <si>
    <t>Estimated cost of a critical outage:</t>
  </si>
  <si>
    <t>Emergency Surcharge (Tapco email)=</t>
  </si>
  <si>
    <t>*this is not used anymore. This was originally used when the calculations were focused on signal comm.</t>
  </si>
  <si>
    <t>Maintenance Ticket will be required regardless=</t>
  </si>
  <si>
    <t>*assumes 10 hours of time. Assumes that time would be absorbed during normal working hours if the outage had been prevented with a redundant link.</t>
  </si>
  <si>
    <t>*assumes 10 hours of time for two people if critical; 10 hours of one person if somewhat critical; and 2 hours if important. Assumes that time would be absorbed during normal working hours if the outage had been prevented with a redundant link.</t>
  </si>
  <si>
    <t>Cost of IT Tech handling emergency outage=</t>
  </si>
  <si>
    <t>Cost of Electrical Tech handling emergency outage=</t>
  </si>
  <si>
    <t>Cost of Engineer handling emergency outage=</t>
  </si>
  <si>
    <t>Total per outage=</t>
  </si>
  <si>
    <t>Total per year=</t>
  </si>
  <si>
    <t>Outages per Year</t>
  </si>
  <si>
    <t>Project Benefits - Dynamic Message Sign (DMS)</t>
  </si>
  <si>
    <t xml:space="preserve">Please complete the Guidance Analysis below to help define the intent of the project. The summary of your results is listed here: </t>
  </si>
  <si>
    <t>G1, Weather Conditions</t>
  </si>
  <si>
    <t>G2, Traffic Conditions</t>
  </si>
  <si>
    <t>G3, Traffic Control</t>
  </si>
  <si>
    <t>G4, Special Events</t>
  </si>
  <si>
    <t>DMS Guidance Analysis:</t>
  </si>
  <si>
    <t xml:space="preserve">The ITS Planning Guidance below was completed by an ENTERPRISE Pooled Fund Study and is used here to help define the intent of the proposed sign. </t>
  </si>
  <si>
    <t>DMS Guidance #1 - To Inform Travelers of Weather Conditions</t>
  </si>
  <si>
    <t>DMS Guidance #2 - To Inform Travelers of Traffic Conditions</t>
  </si>
  <si>
    <t>DMS Guidance #1 is:</t>
  </si>
  <si>
    <t>DMS Guidance #2 is:</t>
  </si>
  <si>
    <t>DMS Guidance #3 is:</t>
  </si>
  <si>
    <t>DMS Guidance #4 is:</t>
  </si>
  <si>
    <t xml:space="preserve">The ITS Planning Guidance below was completed by an ENTERPRISE Pooled Fund Study and is used here to help define the intent of the proposed camera. </t>
  </si>
  <si>
    <t>Project Benefits - ITS Camera</t>
  </si>
  <si>
    <t xml:space="preserve">Please complete the guidance analysis below. If more than one camera is being requested, it is recommended that each location is considered separately because there may be different responses to the questions below. However, if multiple camera locations are included in this analysis, respond to each question collectively. Based on your responses , the following CCTV Camera Guidance have been met: </t>
  </si>
  <si>
    <t>G1, Signal Control</t>
  </si>
  <si>
    <t>G2, Traffic Incident</t>
  </si>
  <si>
    <t>G3, Weather Verification</t>
  </si>
  <si>
    <t>G4, Traveler Information</t>
  </si>
  <si>
    <t>G5, Field Device Verification</t>
  </si>
  <si>
    <t>G6, Work Zone</t>
  </si>
  <si>
    <t>CCTV Camera Guidance Analysis:</t>
  </si>
  <si>
    <t>CCTV Guidance #1 - Traffic Observation for Signal Control Changes</t>
  </si>
  <si>
    <t>CCTV Guidance #2 - Traffic Incident or Event Verification</t>
  </si>
  <si>
    <t>CCTV Guidance #3 - Weather Verification</t>
  </si>
  <si>
    <t>CCTV Guidance #4 - Traveler Information</t>
  </si>
  <si>
    <t>CCTV Guidance #5 - Field Device Verification</t>
  </si>
  <si>
    <t>CCTV Guidance #6 - Intelligent Work Zone</t>
  </si>
  <si>
    <t>CCTV Guidance #1 is:</t>
  </si>
  <si>
    <t>CCTV Guidance #2 is:</t>
  </si>
  <si>
    <t>CCTV Guidance #3 is:</t>
  </si>
  <si>
    <t>CCTV Guidance #4 is:</t>
  </si>
  <si>
    <t>CCTV Guidance #5 is:</t>
  </si>
  <si>
    <t>CCTV Guidance #6 is:</t>
  </si>
  <si>
    <t xml:space="preserve">M1 (G1). </t>
  </si>
  <si>
    <t>M2 (G1).</t>
  </si>
  <si>
    <t>M1 (G2, G3, G4, G6).</t>
  </si>
  <si>
    <t>M2 (G2, G3, G4, G6).</t>
  </si>
  <si>
    <t>M3 (G2, G3, G4, G6).</t>
  </si>
  <si>
    <t>Average Wisconsin fuel cost (GasBuddy.com 10/27/2016).</t>
  </si>
  <si>
    <t xml:space="preserve">It is assumed that productivity benefits will be realized through reduced maintenance efforts / verification site visits (i.e. if a camera can be used to verify the location of debris or verify functionality of traffic signal). Estimate for how long maintenance efforts / verification site visits have been increasing at the proposed device replacement location(s). </t>
  </si>
  <si>
    <r>
      <t xml:space="preserve">How many crashes, by type, occurred in the </t>
    </r>
    <r>
      <rPr>
        <u/>
        <sz val="11"/>
        <color theme="1"/>
        <rFont val="Calibri"/>
        <family val="2"/>
        <scheme val="minor"/>
      </rPr>
      <t>past year</t>
    </r>
    <r>
      <rPr>
        <sz val="11"/>
        <color theme="1"/>
        <rFont val="Calibri"/>
        <family val="2"/>
        <scheme val="minor"/>
      </rPr>
      <t xml:space="preserve"> at this intersection or corridor? (If using the Needs Analysis Tool to obtain crash data, divide the 5 year crashes by 5 to provide an average annual number of crashes)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</si>
</sst>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
    <numFmt numFmtId="167" formatCode="0.000"/>
    <numFmt numFmtId="168" formatCode="_(* #,##0_);_(* \(#,##0\);_(* &quot;-&quot;??_);_(@_)"/>
    <numFmt numFmtId="169" formatCode="0.0"/>
    <numFmt numFmtId="170" formatCode="&quot;$&quot;#,##0.00"/>
    <numFmt numFmtId="171" formatCode="#,##0.0_);\(#,##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sz val="18"/>
      <color theme="1"/>
      <name val="Calibri"/>
      <family val="2"/>
      <scheme val="minor"/>
    </font>
    <font>
      <sz val="11"/>
      <color rgb="FFFF0000"/>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2"/>
      <color theme="1"/>
      <name val="Calibri"/>
      <family val="2"/>
      <scheme val="minor"/>
    </font>
    <font>
      <u/>
      <sz val="11"/>
      <color theme="1"/>
      <name val="Calibri"/>
      <family val="2"/>
      <scheme val="minor"/>
    </font>
    <font>
      <b/>
      <i/>
      <sz val="11"/>
      <color theme="1"/>
      <name val="Calibri"/>
      <family val="2"/>
      <scheme val="minor"/>
    </font>
    <font>
      <b/>
      <sz val="11"/>
      <color theme="9" tint="-0.499984740745262"/>
      <name val="Calibri"/>
      <family val="2"/>
      <scheme val="minor"/>
    </font>
    <font>
      <sz val="11"/>
      <color rgb="FF0070C0"/>
      <name val="Calibri"/>
      <family val="2"/>
      <scheme val="minor"/>
    </font>
    <font>
      <b/>
      <sz val="10"/>
      <name val="Arial"/>
      <family val="2"/>
    </font>
    <font>
      <sz val="10"/>
      <name val="Arial"/>
      <family val="2"/>
    </font>
    <font>
      <sz val="10"/>
      <name val="Wingdings"/>
      <charset val="2"/>
    </font>
    <font>
      <b/>
      <i/>
      <sz val="10"/>
      <name val="Arial"/>
      <family val="2"/>
    </font>
    <font>
      <b/>
      <sz val="20"/>
      <color theme="1"/>
      <name val="Calibri"/>
      <family val="2"/>
      <scheme val="minor"/>
    </font>
    <font>
      <sz val="9"/>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165" fontId="1" fillId="0" borderId="0"/>
    <xf numFmtId="43" fontId="1" fillId="0" borderId="0" applyFont="0" applyFill="0" applyBorder="0" applyAlignment="0" applyProtection="0"/>
    <xf numFmtId="0" fontId="13" fillId="0" borderId="0" applyNumberFormat="0" applyFill="0" applyBorder="0" applyAlignment="0" applyProtection="0"/>
  </cellStyleXfs>
  <cellXfs count="450">
    <xf numFmtId="0" fontId="0" fillId="0" borderId="0" xfId="0"/>
    <xf numFmtId="0" fontId="0" fillId="0" borderId="0" xfId="0" applyAlignment="1">
      <alignment horizontal="center"/>
    </xf>
    <xf numFmtId="0" fontId="0" fillId="0" borderId="0" xfId="0" applyAlignment="1">
      <alignment vertical="center" wrapText="1"/>
    </xf>
    <xf numFmtId="164" fontId="0" fillId="0" borderId="0" xfId="1" applyNumberFormat="1" applyFont="1" applyAlignment="1">
      <alignment horizontal="center" vertical="center"/>
    </xf>
    <xf numFmtId="0" fontId="0" fillId="0" borderId="0" xfId="0"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vertical="center"/>
    </xf>
    <xf numFmtId="164" fontId="0" fillId="0" borderId="0" xfId="1" applyNumberFormat="1" applyFont="1" applyBorder="1" applyAlignment="1">
      <alignment horizontal="center" vertical="center"/>
    </xf>
    <xf numFmtId="0" fontId="2" fillId="0" borderId="0" xfId="0" applyFont="1" applyAlignment="1">
      <alignment horizontal="center"/>
    </xf>
    <xf numFmtId="0" fontId="2" fillId="0" borderId="0" xfId="0" applyFont="1"/>
    <xf numFmtId="166" fontId="0" fillId="0" borderId="0" xfId="1" applyNumberFormat="1" applyFont="1" applyFill="1" applyBorder="1" applyAlignment="1">
      <alignment horizontal="center" vertical="center"/>
    </xf>
    <xf numFmtId="166" fontId="0" fillId="0" borderId="0" xfId="1" applyNumberFormat="1" applyFont="1" applyFill="1" applyBorder="1" applyAlignment="1">
      <alignment vertical="center"/>
    </xf>
    <xf numFmtId="0" fontId="0" fillId="3" borderId="9" xfId="1" applyNumberFormat="1" applyFont="1" applyFill="1" applyBorder="1" applyAlignment="1">
      <alignment vertical="center"/>
    </xf>
    <xf numFmtId="164" fontId="0" fillId="0" borderId="0" xfId="1" applyNumberFormat="1" applyFont="1" applyFill="1" applyBorder="1" applyAlignment="1">
      <alignment horizontal="center" vertical="center"/>
    </xf>
    <xf numFmtId="0" fontId="0" fillId="0" borderId="0" xfId="0" applyFill="1" applyBorder="1" applyAlignment="1">
      <alignment vertical="center"/>
    </xf>
    <xf numFmtId="0" fontId="0" fillId="0" borderId="0" xfId="1" applyNumberFormat="1" applyFont="1" applyFill="1" applyBorder="1" applyAlignment="1">
      <alignment vertical="center"/>
    </xf>
    <xf numFmtId="0" fontId="0" fillId="0" borderId="9" xfId="1" applyNumberFormat="1" applyFont="1" applyFill="1" applyBorder="1" applyAlignment="1">
      <alignment vertical="center"/>
    </xf>
    <xf numFmtId="168" fontId="0" fillId="3" borderId="9" xfId="3" applyNumberFormat="1" applyFont="1" applyFill="1" applyBorder="1" applyAlignment="1">
      <alignment vertical="center"/>
    </xf>
    <xf numFmtId="0" fontId="0" fillId="0" borderId="0" xfId="0" applyBorder="1" applyAlignment="1">
      <alignment vertical="center" wrapText="1"/>
    </xf>
    <xf numFmtId="0" fontId="0" fillId="0" borderId="0" xfId="0" applyBorder="1" applyAlignment="1">
      <alignment horizontal="right" vertical="center"/>
    </xf>
    <xf numFmtId="0" fontId="0" fillId="0" borderId="0" xfId="0" applyBorder="1" applyAlignment="1">
      <alignment horizontal="right" vertical="center" wrapText="1"/>
    </xf>
    <xf numFmtId="0" fontId="4" fillId="0" borderId="0" xfId="0" applyFont="1" applyBorder="1" applyAlignment="1">
      <alignment vertical="center"/>
    </xf>
    <xf numFmtId="166" fontId="4" fillId="0" borderId="0" xfId="1" applyNumberFormat="1" applyFont="1" applyBorder="1" applyAlignment="1">
      <alignment horizontal="center" vertical="center"/>
    </xf>
    <xf numFmtId="2" fontId="4" fillId="0" borderId="0" xfId="0" applyNumberFormat="1" applyFont="1" applyFill="1" applyBorder="1" applyAlignment="1">
      <alignment horizontal="right" vertical="center"/>
    </xf>
    <xf numFmtId="0" fontId="4" fillId="0" borderId="0" xfId="0" applyFont="1" applyBorder="1" applyAlignment="1">
      <alignment horizontal="right" vertical="center"/>
    </xf>
    <xf numFmtId="2" fontId="4" fillId="2" borderId="0" xfId="0" applyNumberFormat="1" applyFont="1" applyFill="1" applyBorder="1" applyAlignment="1">
      <alignment horizontal="right" vertical="center"/>
    </xf>
    <xf numFmtId="1" fontId="4" fillId="4"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xf>
    <xf numFmtId="0" fontId="0" fillId="0" borderId="0" xfId="0" applyBorder="1" applyAlignment="1">
      <alignment horizontal="left" vertical="center"/>
    </xf>
    <xf numFmtId="168" fontId="0" fillId="0" borderId="9" xfId="3" applyNumberFormat="1" applyFont="1" applyFill="1" applyBorder="1" applyAlignment="1">
      <alignment vertical="center"/>
    </xf>
    <xf numFmtId="166" fontId="0" fillId="3" borderId="9" xfId="1" applyNumberFormat="1" applyFont="1" applyFill="1" applyBorder="1" applyAlignment="1">
      <alignment vertical="center"/>
    </xf>
    <xf numFmtId="166" fontId="0" fillId="0" borderId="9" xfId="3" applyNumberFormat="1" applyFont="1" applyFill="1" applyBorder="1" applyAlignment="1">
      <alignment vertical="center"/>
    </xf>
    <xf numFmtId="168" fontId="0" fillId="0" borderId="0" xfId="3" applyNumberFormat="1" applyFont="1" applyFill="1" applyBorder="1" applyAlignment="1">
      <alignment horizontal="center" vertical="center" wrapText="1"/>
    </xf>
    <xf numFmtId="166" fontId="0" fillId="4" borderId="0" xfId="3" applyNumberFormat="1" applyFont="1" applyFill="1" applyBorder="1" applyAlignment="1">
      <alignment horizontal="center" vertical="center"/>
    </xf>
    <xf numFmtId="0" fontId="0" fillId="5" borderId="0" xfId="3" applyNumberFormat="1" applyFont="1" applyFill="1" applyBorder="1" applyAlignment="1">
      <alignment horizontal="center" vertical="center"/>
    </xf>
    <xf numFmtId="166" fontId="0" fillId="5" borderId="0" xfId="3" applyNumberFormat="1"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right" vertical="center" wrapText="1"/>
    </xf>
    <xf numFmtId="168" fontId="0" fillId="3" borderId="9" xfId="3" applyNumberFormat="1" applyFont="1" applyFill="1" applyBorder="1" applyAlignment="1">
      <alignment horizontal="center" vertical="center"/>
    </xf>
    <xf numFmtId="164" fontId="0" fillId="0" borderId="0" xfId="1" applyNumberFormat="1" applyFont="1"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horizontal="right" vertical="center" wrapText="1"/>
    </xf>
    <xf numFmtId="170" fontId="0" fillId="2" borderId="0" xfId="1" applyNumberFormat="1" applyFont="1" applyFill="1" applyBorder="1" applyAlignment="1">
      <alignment vertical="center"/>
    </xf>
    <xf numFmtId="0" fontId="0" fillId="0" borderId="0" xfId="0" applyBorder="1" applyAlignment="1">
      <alignment horizontal="center" vertical="center"/>
    </xf>
    <xf numFmtId="0" fontId="0" fillId="6" borderId="0" xfId="0" applyFill="1" applyBorder="1" applyAlignment="1">
      <alignment horizontal="left" vertical="center"/>
    </xf>
    <xf numFmtId="0" fontId="0" fillId="0" borderId="0" xfId="0" applyFill="1" applyAlignment="1">
      <alignment horizontal="center" vertical="center"/>
    </xf>
    <xf numFmtId="168" fontId="0" fillId="0" borderId="9" xfId="3" applyNumberFormat="1" applyFont="1" applyFill="1" applyBorder="1" applyAlignment="1">
      <alignment horizontal="center" vertical="center"/>
    </xf>
    <xf numFmtId="0" fontId="0" fillId="0" borderId="0" xfId="0" quotePrefix="1" applyBorder="1" applyAlignment="1">
      <alignment horizontal="right" vertical="center"/>
    </xf>
    <xf numFmtId="0" fontId="2" fillId="0" borderId="0" xfId="0" applyFont="1" applyAlignment="1">
      <alignment horizontal="center"/>
    </xf>
    <xf numFmtId="0" fontId="0" fillId="0" borderId="9" xfId="0" applyFill="1" applyBorder="1" applyAlignment="1">
      <alignment horizontal="center" vertical="center"/>
    </xf>
    <xf numFmtId="6" fontId="0" fillId="0" borderId="0" xfId="0" applyNumberFormat="1"/>
    <xf numFmtId="0" fontId="0" fillId="0" borderId="0" xfId="0" quotePrefix="1" applyAlignment="1">
      <alignment horizontal="right" vertical="center"/>
    </xf>
    <xf numFmtId="0" fontId="2" fillId="0" borderId="5" xfId="0" applyFont="1" applyBorder="1" applyAlignment="1">
      <alignment vertical="center"/>
    </xf>
    <xf numFmtId="0" fontId="0" fillId="0" borderId="6" xfId="0" quotePrefix="1" applyBorder="1" applyAlignment="1">
      <alignment horizontal="right" vertical="center"/>
    </xf>
    <xf numFmtId="0" fontId="0" fillId="0" borderId="6" xfId="0" applyBorder="1" applyAlignment="1">
      <alignment horizontal="right" vertical="center"/>
    </xf>
    <xf numFmtId="0" fontId="0" fillId="0" borderId="6" xfId="0" applyBorder="1" applyAlignment="1">
      <alignment vertical="center"/>
    </xf>
    <xf numFmtId="0" fontId="0" fillId="0" borderId="3" xfId="0" applyBorder="1" applyAlignment="1">
      <alignment horizontal="right" vertical="center"/>
    </xf>
    <xf numFmtId="0" fontId="0" fillId="0" borderId="3" xfId="0" applyBorder="1" applyAlignment="1">
      <alignment vertical="center"/>
    </xf>
    <xf numFmtId="170" fontId="0" fillId="4" borderId="0" xfId="3" applyNumberFormat="1" applyFont="1" applyFill="1" applyBorder="1" applyAlignment="1">
      <alignment horizontal="center" vertical="center"/>
    </xf>
    <xf numFmtId="0" fontId="0" fillId="8" borderId="0" xfId="3" applyNumberFormat="1" applyFont="1" applyFill="1" applyBorder="1" applyAlignment="1">
      <alignment horizontal="center" vertical="center"/>
    </xf>
    <xf numFmtId="170" fontId="0" fillId="8" borderId="0" xfId="3" applyNumberFormat="1" applyFont="1" applyFill="1" applyBorder="1" applyAlignment="1">
      <alignment horizontal="center" vertical="center"/>
    </xf>
    <xf numFmtId="0" fontId="0" fillId="4" borderId="0" xfId="3" applyNumberFormat="1" applyFont="1" applyFill="1" applyBorder="1" applyAlignment="1">
      <alignment horizontal="center" vertical="center"/>
    </xf>
    <xf numFmtId="0" fontId="0" fillId="0" borderId="0" xfId="3" applyNumberFormat="1" applyFont="1" applyFill="1" applyBorder="1" applyAlignment="1">
      <alignment horizontal="center" vertical="center"/>
    </xf>
    <xf numFmtId="170" fontId="0" fillId="0" borderId="0" xfId="3" applyNumberFormat="1" applyFont="1" applyFill="1" applyBorder="1" applyAlignment="1">
      <alignment horizontal="center" vertical="center"/>
    </xf>
    <xf numFmtId="0" fontId="0" fillId="0" borderId="9" xfId="0" applyBorder="1" applyAlignment="1">
      <alignment horizontal="center" vertical="center"/>
    </xf>
    <xf numFmtId="0" fontId="0" fillId="0" borderId="8" xfId="0" applyFill="1" applyBorder="1" applyAlignment="1">
      <alignment vertical="center"/>
    </xf>
    <xf numFmtId="0" fontId="0" fillId="0" borderId="8" xfId="0" applyFill="1" applyBorder="1" applyAlignment="1">
      <alignment horizontal="left" vertical="center"/>
    </xf>
    <xf numFmtId="0" fontId="0" fillId="0" borderId="1"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horizontal="center" vertical="center"/>
    </xf>
    <xf numFmtId="0" fontId="2" fillId="0" borderId="0" xfId="0" applyFont="1" applyBorder="1" applyAlignment="1">
      <alignment horizontal="left" vertical="center"/>
    </xf>
    <xf numFmtId="0" fontId="0" fillId="0" borderId="1" xfId="0" applyBorder="1" applyAlignment="1">
      <alignment horizontal="center" vertical="center"/>
    </xf>
    <xf numFmtId="0" fontId="0" fillId="0" borderId="8" xfId="0" applyBorder="1" applyAlignment="1">
      <alignment vertical="center"/>
    </xf>
    <xf numFmtId="0" fontId="0" fillId="0" borderId="1" xfId="0" applyFill="1" applyBorder="1" applyAlignment="1">
      <alignment horizontal="left" vertical="center"/>
    </xf>
    <xf numFmtId="0" fontId="0" fillId="0" borderId="4" xfId="0"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3" borderId="14" xfId="0" applyFill="1" applyBorder="1" applyAlignment="1">
      <alignment horizontal="center" vertical="center"/>
    </xf>
    <xf numFmtId="0" fontId="0" fillId="0" borderId="5" xfId="0" applyBorder="1" applyAlignment="1">
      <alignment vertical="center"/>
    </xf>
    <xf numFmtId="0" fontId="0" fillId="0" borderId="2" xfId="0" applyBorder="1" applyAlignment="1">
      <alignment vertical="center"/>
    </xf>
    <xf numFmtId="0" fontId="0" fillId="0" borderId="2" xfId="0" applyFill="1" applyBorder="1" applyAlignment="1">
      <alignment vertical="center"/>
    </xf>
    <xf numFmtId="0" fontId="0" fillId="0" borderId="7" xfId="0" applyFill="1" applyBorder="1" applyAlignment="1">
      <alignment vertical="center"/>
    </xf>
    <xf numFmtId="0" fontId="14" fillId="0" borderId="0" xfId="0" applyFont="1" applyAlignment="1">
      <alignment vertical="center"/>
    </xf>
    <xf numFmtId="0" fontId="0" fillId="0" borderId="1" xfId="0" applyBorder="1" applyAlignment="1">
      <alignment horizontal="left"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44" fontId="0" fillId="0" borderId="0" xfId="1" applyFont="1" applyFill="1" applyBorder="1" applyAlignment="1">
      <alignment horizontal="center" vertical="center"/>
    </xf>
    <xf numFmtId="166" fontId="6" fillId="0" borderId="13" xfId="0" applyNumberFormat="1" applyFont="1" applyFill="1" applyBorder="1" applyAlignment="1">
      <alignment horizontal="center" vertical="center"/>
    </xf>
    <xf numFmtId="0" fontId="5" fillId="0" borderId="0" xfId="0" applyFont="1" applyBorder="1" applyAlignment="1">
      <alignment horizontal="right" vertical="center"/>
    </xf>
    <xf numFmtId="166" fontId="6" fillId="0" borderId="0"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0" fontId="0" fillId="0" borderId="0" xfId="0" applyAlignment="1">
      <alignment horizontal="center"/>
    </xf>
    <xf numFmtId="0" fontId="0" fillId="0" borderId="8" xfId="0" applyFill="1" applyBorder="1" applyAlignment="1">
      <alignment horizontal="left" vertical="center" wrapText="1"/>
    </xf>
    <xf numFmtId="0" fontId="0" fillId="0" borderId="4" xfId="0" applyBorder="1" applyAlignment="1">
      <alignment vertical="center"/>
    </xf>
    <xf numFmtId="0" fontId="0" fillId="0" borderId="7" xfId="0"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166" fontId="0" fillId="0" borderId="0" xfId="3" applyNumberFormat="1" applyFont="1" applyFill="1" applyBorder="1" applyAlignment="1">
      <alignment vertical="center"/>
    </xf>
    <xf numFmtId="0" fontId="0" fillId="0" borderId="8" xfId="0" applyBorder="1" applyAlignment="1">
      <alignment horizontal="right" vertical="center"/>
    </xf>
    <xf numFmtId="37" fontId="0" fillId="3" borderId="9" xfId="3"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Border="1" applyAlignment="1">
      <alignment horizontal="lef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0" fillId="0" borderId="0" xfId="0" applyFill="1" applyBorder="1" applyAlignment="1">
      <alignment horizontal="center" vertical="center"/>
    </xf>
    <xf numFmtId="0" fontId="0" fillId="0" borderId="7" xfId="0" applyFill="1" applyBorder="1" applyAlignment="1">
      <alignment horizontal="left" vertical="center" wrapText="1"/>
    </xf>
    <xf numFmtId="0" fontId="0" fillId="0" borderId="0" xfId="0" applyAlignment="1">
      <alignment horizontal="center"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0" fillId="3" borderId="9" xfId="0"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horizontal="right" vertical="center"/>
    </xf>
    <xf numFmtId="0" fontId="2" fillId="0" borderId="0" xfId="0" applyFont="1" applyFill="1" applyBorder="1" applyAlignment="1">
      <alignment horizontal="center" vertical="center"/>
    </xf>
    <xf numFmtId="0" fontId="0" fillId="0" borderId="0" xfId="0" applyBorder="1" applyAlignment="1">
      <alignment horizontal="left" vertical="center" wrapText="1"/>
    </xf>
    <xf numFmtId="0" fontId="0" fillId="3" borderId="9" xfId="0" applyFill="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left" vertical="center"/>
    </xf>
    <xf numFmtId="43" fontId="0" fillId="0" borderId="0" xfId="3" applyNumberFormat="1" applyFont="1" applyFill="1" applyBorder="1" applyAlignment="1">
      <alignment vertical="center"/>
    </xf>
    <xf numFmtId="37" fontId="0" fillId="0" borderId="0" xfId="3" applyNumberFormat="1" applyFont="1" applyFill="1" applyBorder="1" applyAlignment="1">
      <alignment horizontal="center" vertical="center"/>
    </xf>
    <xf numFmtId="0" fontId="0" fillId="6" borderId="0" xfId="0" applyFill="1" applyBorder="1" applyAlignment="1">
      <alignment vertical="center"/>
    </xf>
    <xf numFmtId="0" fontId="10" fillId="0" borderId="0" xfId="0" applyFont="1" applyBorder="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1" xfId="0" applyBorder="1" applyAlignment="1">
      <alignment vertical="center"/>
    </xf>
    <xf numFmtId="0" fontId="0" fillId="5" borderId="0" xfId="0" applyFill="1" applyBorder="1" applyAlignment="1">
      <alignment horizontal="left" vertical="center"/>
    </xf>
    <xf numFmtId="164" fontId="0" fillId="2" borderId="0" xfId="1" applyNumberFormat="1" applyFont="1" applyFill="1" applyBorder="1" applyAlignment="1">
      <alignment vertical="center"/>
    </xf>
    <xf numFmtId="0" fontId="0" fillId="2" borderId="0" xfId="0" applyFill="1" applyBorder="1" applyAlignment="1">
      <alignment vertical="center"/>
    </xf>
    <xf numFmtId="167" fontId="0" fillId="4" borderId="0" xfId="0" applyNumberFormat="1" applyFill="1" applyBorder="1" applyAlignment="1">
      <alignment vertical="center"/>
    </xf>
    <xf numFmtId="167" fontId="0" fillId="0" borderId="0" xfId="0" applyNumberFormat="1" applyFill="1" applyBorder="1" applyAlignment="1">
      <alignment vertical="center"/>
    </xf>
    <xf numFmtId="164" fontId="0" fillId="4" borderId="0" xfId="1" applyNumberFormat="1" applyFont="1" applyFill="1" applyBorder="1" applyAlignment="1">
      <alignment vertical="center"/>
    </xf>
    <xf numFmtId="44" fontId="0" fillId="4" borderId="0" xfId="1" applyNumberFormat="1" applyFont="1" applyFill="1" applyBorder="1" applyAlignment="1">
      <alignment vertical="center"/>
    </xf>
    <xf numFmtId="0" fontId="2" fillId="0" borderId="0" xfId="0" applyFont="1" applyBorder="1" applyAlignment="1">
      <alignment horizontal="right" vertical="center"/>
    </xf>
    <xf numFmtId="166" fontId="0" fillId="4" borderId="13" xfId="0" applyNumberFormat="1" applyFill="1" applyBorder="1" applyAlignment="1">
      <alignment vertical="center"/>
    </xf>
    <xf numFmtId="0" fontId="2" fillId="0" borderId="1" xfId="0" applyFont="1" applyBorder="1" applyAlignment="1">
      <alignment horizontal="right" vertical="center"/>
    </xf>
    <xf numFmtId="0" fontId="0" fillId="0" borderId="5" xfId="0" quotePrefix="1" applyBorder="1" applyAlignment="1">
      <alignment horizontal="right" vertical="center"/>
    </xf>
    <xf numFmtId="168" fontId="0" fillId="0" borderId="0" xfId="3" applyNumberFormat="1" applyFont="1" applyFill="1" applyBorder="1" applyAlignment="1">
      <alignment horizontal="center" vertical="center"/>
    </xf>
    <xf numFmtId="168" fontId="0" fillId="4" borderId="0" xfId="3" applyNumberFormat="1" applyFont="1" applyFill="1" applyBorder="1" applyAlignment="1">
      <alignment horizontal="center" vertical="center"/>
    </xf>
    <xf numFmtId="169" fontId="0" fillId="2" borderId="0" xfId="0" applyNumberFormat="1" applyFill="1" applyBorder="1" applyAlignment="1">
      <alignment horizontal="center" vertical="center"/>
    </xf>
    <xf numFmtId="168" fontId="0" fillId="4" borderId="0" xfId="0" applyNumberFormat="1" applyFill="1" applyBorder="1" applyAlignment="1">
      <alignment vertical="center"/>
    </xf>
    <xf numFmtId="166" fontId="0" fillId="2" borderId="0" xfId="0" applyNumberFormat="1" applyFill="1" applyBorder="1" applyAlignment="1">
      <alignment horizontal="center" vertical="center"/>
    </xf>
    <xf numFmtId="0" fontId="0" fillId="0" borderId="3" xfId="0" quotePrefix="1" applyBorder="1" applyAlignment="1">
      <alignment horizontal="right" vertical="center"/>
    </xf>
    <xf numFmtId="0" fontId="0" fillId="0" borderId="6" xfId="0" applyBorder="1" applyAlignment="1">
      <alignment horizontal="right" vertical="center" wrapText="1"/>
    </xf>
    <xf numFmtId="0" fontId="0" fillId="0" borderId="8" xfId="0" applyBorder="1" applyAlignment="1">
      <alignment vertical="center" wrapText="1"/>
    </xf>
    <xf numFmtId="0" fontId="0" fillId="0" borderId="6" xfId="0" quotePrefix="1" applyBorder="1" applyAlignment="1">
      <alignment horizontal="right" vertical="center" wrapText="1"/>
    </xf>
    <xf numFmtId="0" fontId="0" fillId="8" borderId="0" xfId="0" applyFill="1" applyBorder="1" applyAlignment="1">
      <alignment vertical="center"/>
    </xf>
    <xf numFmtId="1" fontId="0" fillId="4" borderId="0" xfId="0" applyNumberFormat="1" applyFill="1" applyBorder="1" applyAlignment="1">
      <alignment horizontal="center" vertical="center"/>
    </xf>
    <xf numFmtId="166" fontId="0" fillId="0" borderId="13" xfId="1" applyNumberFormat="1" applyFont="1" applyBorder="1" applyAlignment="1">
      <alignment vertical="center"/>
    </xf>
    <xf numFmtId="0" fontId="0" fillId="0" borderId="0" xfId="0" quotePrefix="1" applyFill="1" applyBorder="1" applyAlignment="1">
      <alignment horizontal="right" vertical="center"/>
    </xf>
    <xf numFmtId="0" fontId="0" fillId="0" borderId="18" xfId="0" applyBorder="1" applyAlignment="1">
      <alignment vertical="center"/>
    </xf>
    <xf numFmtId="0" fontId="2" fillId="0" borderId="2" xfId="0" applyFont="1" applyBorder="1" applyAlignment="1">
      <alignment vertical="center"/>
    </xf>
    <xf numFmtId="166" fontId="0" fillId="0" borderId="13" xfId="0" applyNumberFormat="1" applyFill="1" applyBorder="1" applyAlignment="1">
      <alignment vertical="center"/>
    </xf>
    <xf numFmtId="166" fontId="0" fillId="0" borderId="1" xfId="0" applyNumberFormat="1" applyFill="1" applyBorder="1" applyAlignment="1">
      <alignment vertical="center"/>
    </xf>
    <xf numFmtId="166" fontId="0" fillId="0" borderId="0" xfId="0" applyNumberFormat="1" applyFill="1" applyBorder="1" applyAlignment="1">
      <alignment vertical="center"/>
    </xf>
    <xf numFmtId="0" fontId="0" fillId="0" borderId="0" xfId="0" applyFont="1" applyBorder="1" applyAlignment="1">
      <alignment horizontal="left" vertical="center"/>
    </xf>
    <xf numFmtId="0" fontId="2" fillId="0" borderId="6" xfId="0" applyFont="1" applyBorder="1" applyAlignment="1">
      <alignment vertical="center"/>
    </xf>
    <xf numFmtId="0" fontId="0" fillId="0" borderId="6" xfId="0" applyFont="1" applyBorder="1" applyAlignment="1">
      <alignment horizontal="right" vertical="center"/>
    </xf>
    <xf numFmtId="0" fontId="0" fillId="0" borderId="6" xfId="0" applyFont="1" applyBorder="1" applyAlignment="1">
      <alignment vertical="center"/>
    </xf>
    <xf numFmtId="0" fontId="0" fillId="10" borderId="0" xfId="0" applyFill="1" applyBorder="1" applyAlignment="1">
      <alignment horizontal="center" vertical="center"/>
    </xf>
    <xf numFmtId="0" fontId="2" fillId="0" borderId="6" xfId="0" applyFont="1" applyBorder="1" applyAlignment="1">
      <alignment horizontal="right" vertical="center"/>
    </xf>
    <xf numFmtId="1" fontId="0" fillId="4" borderId="0" xfId="0" applyNumberFormat="1" applyFill="1" applyBorder="1" applyAlignment="1">
      <alignment horizontal="center" vertical="center" wrapText="1"/>
    </xf>
    <xf numFmtId="0" fontId="0" fillId="2" borderId="0" xfId="0" applyFill="1" applyBorder="1" applyAlignment="1">
      <alignment horizontal="center" vertical="center"/>
    </xf>
    <xf numFmtId="0" fontId="0" fillId="0" borderId="0" xfId="0" applyAlignment="1">
      <alignment horizontal="left" vertical="center"/>
    </xf>
    <xf numFmtId="166" fontId="0" fillId="4" borderId="13" xfId="0" applyNumberFormat="1" applyFill="1" applyBorder="1" applyAlignment="1">
      <alignment horizontal="center" vertical="center"/>
    </xf>
    <xf numFmtId="2" fontId="0" fillId="0" borderId="0" xfId="0" applyNumberFormat="1" applyAlignment="1">
      <alignment vertical="center"/>
    </xf>
    <xf numFmtId="0" fontId="9" fillId="0" borderId="0" xfId="0" applyFont="1" applyBorder="1" applyAlignment="1">
      <alignment vertical="center" wrapText="1"/>
    </xf>
    <xf numFmtId="0" fontId="0" fillId="0" borderId="0" xfId="0" applyBorder="1" applyAlignment="1">
      <alignment horizontal="left" vertical="center"/>
    </xf>
    <xf numFmtId="0" fontId="0" fillId="0" borderId="2" xfId="0" applyBorder="1" applyAlignment="1">
      <alignment horizontal="right" vertical="center"/>
    </xf>
    <xf numFmtId="0" fontId="3" fillId="0" borderId="0" xfId="0" applyFont="1" applyBorder="1" applyAlignment="1">
      <alignment vertical="center"/>
    </xf>
    <xf numFmtId="166" fontId="6" fillId="0" borderId="13" xfId="1" applyNumberFormat="1" applyFont="1" applyBorder="1" applyAlignment="1">
      <alignment vertical="center"/>
    </xf>
    <xf numFmtId="166" fontId="0" fillId="4" borderId="13" xfId="1" applyNumberFormat="1" applyFont="1" applyFill="1" applyBorder="1" applyAlignment="1">
      <alignment vertical="center"/>
    </xf>
    <xf numFmtId="168" fontId="0" fillId="4" borderId="0" xfId="0" applyNumberFormat="1" applyFill="1" applyBorder="1" applyAlignment="1">
      <alignment vertical="center" wrapText="1"/>
    </xf>
    <xf numFmtId="166" fontId="0" fillId="8" borderId="0" xfId="0" applyNumberFormat="1" applyFill="1" applyBorder="1" applyAlignment="1">
      <alignment vertical="center" wrapText="1"/>
    </xf>
    <xf numFmtId="0" fontId="8" fillId="0" borderId="0" xfId="0" applyFont="1" applyAlignment="1">
      <alignment vertical="center"/>
    </xf>
    <xf numFmtId="166" fontId="0" fillId="8" borderId="0" xfId="0" applyNumberFormat="1" applyFill="1" applyBorder="1" applyAlignment="1">
      <alignment horizontal="center" vertical="center"/>
    </xf>
    <xf numFmtId="166" fontId="0" fillId="4" borderId="0" xfId="0" applyNumberFormat="1" applyFill="1" applyBorder="1" applyAlignment="1">
      <alignment horizontal="center" vertical="center"/>
    </xf>
    <xf numFmtId="0" fontId="0" fillId="2" borderId="0" xfId="0" applyNumberFormat="1" applyFill="1" applyBorder="1" applyAlignment="1">
      <alignment horizontal="center" vertical="center"/>
    </xf>
    <xf numFmtId="0" fontId="0" fillId="4" borderId="0" xfId="0" applyNumberFormat="1" applyFill="1" applyBorder="1" applyAlignment="1">
      <alignment horizontal="center" vertical="center"/>
    </xf>
    <xf numFmtId="170" fontId="0" fillId="2" borderId="0" xfId="0" applyNumberFormat="1" applyFill="1" applyBorder="1" applyAlignment="1">
      <alignment horizontal="center" vertical="center"/>
    </xf>
    <xf numFmtId="0" fontId="0" fillId="0" borderId="0" xfId="0" applyFont="1" applyAlignment="1">
      <alignment vertical="center"/>
    </xf>
    <xf numFmtId="0" fontId="2" fillId="0" borderId="5" xfId="0" applyFont="1" applyFill="1" applyBorder="1" applyAlignment="1">
      <alignment vertical="center"/>
    </xf>
    <xf numFmtId="0" fontId="0" fillId="0" borderId="6" xfId="0" applyFill="1" applyBorder="1" applyAlignment="1">
      <alignment vertical="center"/>
    </xf>
    <xf numFmtId="0" fontId="0" fillId="0" borderId="6" xfId="0" quotePrefix="1" applyFill="1" applyBorder="1" applyAlignment="1">
      <alignment horizontal="right" vertical="center"/>
    </xf>
    <xf numFmtId="0" fontId="0" fillId="0" borderId="6" xfId="0" applyFill="1" applyBorder="1" applyAlignment="1">
      <alignment horizontal="right" vertical="center"/>
    </xf>
    <xf numFmtId="0" fontId="2" fillId="0" borderId="0" xfId="0" applyFont="1" applyFill="1" applyBorder="1" applyAlignment="1">
      <alignment horizontal="right" vertical="center"/>
    </xf>
    <xf numFmtId="0" fontId="0" fillId="0" borderId="3" xfId="0" applyFill="1" applyBorder="1" applyAlignment="1">
      <alignment vertical="center"/>
    </xf>
    <xf numFmtId="0" fontId="2" fillId="0" borderId="2" xfId="0" applyFont="1" applyFill="1" applyBorder="1" applyAlignment="1">
      <alignment vertical="center"/>
    </xf>
    <xf numFmtId="0" fontId="0" fillId="0" borderId="3" xfId="0" applyFill="1" applyBorder="1" applyAlignment="1">
      <alignment horizontal="right" vertical="center"/>
    </xf>
    <xf numFmtId="0" fontId="2" fillId="0" borderId="1" xfId="0" applyFont="1" applyFill="1" applyBorder="1" applyAlignment="1">
      <alignment horizontal="right" vertical="center"/>
    </xf>
    <xf numFmtId="0" fontId="0" fillId="0" borderId="11" xfId="0" applyBorder="1" applyAlignment="1">
      <alignment vertical="center"/>
    </xf>
    <xf numFmtId="0" fontId="4" fillId="0" borderId="0" xfId="0" applyFont="1" applyFill="1" applyAlignment="1">
      <alignment vertical="center"/>
    </xf>
    <xf numFmtId="166" fontId="0" fillId="0" borderId="13" xfId="1" applyNumberFormat="1" applyFont="1" applyBorder="1" applyAlignment="1">
      <alignment horizontal="center" vertical="center"/>
    </xf>
    <xf numFmtId="166" fontId="0" fillId="0" borderId="13" xfId="1" applyNumberFormat="1" applyFont="1" applyFill="1" applyBorder="1" applyAlignment="1">
      <alignment horizontal="center" vertical="center"/>
    </xf>
    <xf numFmtId="166" fontId="0" fillId="0" borderId="13" xfId="0" applyNumberFormat="1" applyFill="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quotePrefix="1" applyBorder="1" applyAlignment="1">
      <alignment horizontal="center" vertical="center"/>
    </xf>
    <xf numFmtId="0" fontId="0" fillId="11" borderId="0" xfId="0"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left" vertical="center"/>
    </xf>
    <xf numFmtId="0" fontId="7" fillId="0" borderId="0" xfId="0" applyFont="1" applyFill="1" applyBorder="1" applyAlignment="1">
      <alignment vertical="center"/>
    </xf>
    <xf numFmtId="0" fontId="18" fillId="0" borderId="0" xfId="0" applyFont="1" applyAlignment="1">
      <alignment vertical="center"/>
    </xf>
    <xf numFmtId="0" fontId="18" fillId="0" borderId="0" xfId="0" applyFont="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7" fillId="0" borderId="0" xfId="0" applyFont="1" applyFill="1" applyBorder="1" applyAlignment="1">
      <alignment horizontal="left" vertical="center"/>
    </xf>
    <xf numFmtId="0" fontId="18" fillId="0" borderId="0" xfId="0" applyFont="1" applyFill="1" applyAlignment="1">
      <alignment vertical="center"/>
    </xf>
    <xf numFmtId="0" fontId="17" fillId="0" borderId="0" xfId="0" applyFont="1" applyFill="1" applyBorder="1" applyAlignment="1">
      <alignment horizontal="left" vertical="center"/>
    </xf>
    <xf numFmtId="0" fontId="17" fillId="0" borderId="0" xfId="0" applyFont="1" applyFill="1" applyAlignment="1">
      <alignment vertical="center" wrapText="1"/>
    </xf>
    <xf numFmtId="0" fontId="17" fillId="0" borderId="0" xfId="0" applyFont="1" applyFill="1" applyAlignment="1">
      <alignment vertical="center"/>
    </xf>
    <xf numFmtId="0" fontId="3" fillId="0" borderId="0" xfId="0" applyFont="1" applyFill="1" applyBorder="1" applyAlignment="1">
      <alignment horizontal="left" vertical="center"/>
    </xf>
    <xf numFmtId="0" fontId="17" fillId="0" borderId="0" xfId="0" applyFont="1" applyFill="1" applyBorder="1" applyAlignment="1">
      <alignment vertical="center"/>
    </xf>
    <xf numFmtId="0" fontId="7" fillId="0" borderId="0" xfId="0" applyFont="1" applyFill="1" applyAlignment="1">
      <alignment vertical="center"/>
    </xf>
    <xf numFmtId="170" fontId="0" fillId="6" borderId="0" xfId="1" applyNumberFormat="1" applyFont="1" applyFill="1" applyBorder="1" applyAlignment="1">
      <alignment vertical="center"/>
    </xf>
    <xf numFmtId="0" fontId="7" fillId="0" borderId="0" xfId="0" applyFont="1" applyFill="1" applyBorder="1" applyAlignment="1">
      <alignment vertical="center" wrapText="1"/>
    </xf>
    <xf numFmtId="166" fontId="0" fillId="0" borderId="9" xfId="1" applyNumberFormat="1" applyFont="1" applyBorder="1" applyAlignment="1">
      <alignment horizontal="center" vertical="center"/>
    </xf>
    <xf numFmtId="0" fontId="7" fillId="0" borderId="6" xfId="0" applyFont="1" applyFill="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9" borderId="9" xfId="0" applyFill="1" applyBorder="1" applyAlignment="1">
      <alignment vertical="center"/>
    </xf>
    <xf numFmtId="0" fontId="0" fillId="9" borderId="9" xfId="0" applyFill="1" applyBorder="1" applyAlignment="1">
      <alignment horizontal="center" vertical="center"/>
    </xf>
    <xf numFmtId="0" fontId="0" fillId="13" borderId="9" xfId="0" applyFill="1" applyBorder="1" applyAlignment="1">
      <alignment vertical="center"/>
    </xf>
    <xf numFmtId="0" fontId="0" fillId="13" borderId="9" xfId="0" applyFill="1" applyBorder="1" applyAlignment="1">
      <alignment horizontal="center" vertical="center"/>
    </xf>
    <xf numFmtId="0" fontId="0" fillId="14" borderId="9" xfId="0" applyFill="1" applyBorder="1" applyAlignment="1">
      <alignment horizontal="center" vertical="center" wrapText="1"/>
    </xf>
    <xf numFmtId="0" fontId="0" fillId="14" borderId="9" xfId="0" applyFill="1" applyBorder="1" applyAlignment="1">
      <alignment vertical="center"/>
    </xf>
    <xf numFmtId="0" fontId="0" fillId="14" borderId="9" xfId="0" applyFill="1" applyBorder="1" applyAlignment="1">
      <alignment horizontal="center" vertical="center"/>
    </xf>
    <xf numFmtId="0" fontId="0" fillId="12" borderId="9" xfId="0" applyFill="1" applyBorder="1" applyAlignment="1">
      <alignment vertical="center"/>
    </xf>
    <xf numFmtId="0" fontId="0" fillId="12" borderId="9" xfId="0" applyFill="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wrapText="1"/>
    </xf>
    <xf numFmtId="0" fontId="0" fillId="3" borderId="9" xfId="0" applyFill="1" applyBorder="1" applyAlignment="1">
      <alignment horizontal="center"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Fill="1" applyBorder="1" applyAlignment="1">
      <alignment horizontal="left" vertical="top" wrapText="1"/>
    </xf>
    <xf numFmtId="0" fontId="20" fillId="0" borderId="0" xfId="0" applyFont="1" applyFill="1" applyBorder="1" applyAlignment="1"/>
    <xf numFmtId="0" fontId="21" fillId="0" borderId="0" xfId="0" applyFont="1" applyFill="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vertical="top"/>
    </xf>
    <xf numFmtId="0" fontId="20" fillId="0" borderId="0" xfId="0" applyFont="1" applyFill="1" applyBorder="1"/>
    <xf numFmtId="0" fontId="20" fillId="0" borderId="0" xfId="0" applyFont="1" applyFill="1" applyBorder="1" applyAlignment="1">
      <alignment vertical="center"/>
    </xf>
    <xf numFmtId="0" fontId="19" fillId="0" borderId="0" xfId="0" applyFont="1" applyFill="1" applyBorder="1" applyAlignment="1">
      <alignment horizontal="righ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right" vertical="center" wrapText="1"/>
    </xf>
    <xf numFmtId="0" fontId="20" fillId="0" borderId="0" xfId="0" applyFont="1" applyFill="1" applyBorder="1" applyAlignment="1">
      <alignment horizontal="right"/>
    </xf>
    <xf numFmtId="0" fontId="22" fillId="0" borderId="0" xfId="0" applyFont="1" applyFill="1" applyBorder="1" applyAlignment="1">
      <alignment horizontal="left" vertical="top"/>
    </xf>
    <xf numFmtId="0" fontId="22" fillId="0" borderId="9" xfId="0" applyFont="1" applyFill="1" applyBorder="1" applyAlignment="1">
      <alignment horizontal="left" vertical="top"/>
    </xf>
    <xf numFmtId="0" fontId="21" fillId="0" borderId="0" xfId="0" applyFont="1" applyFill="1" applyBorder="1" applyAlignment="1">
      <alignment horizontal="right" vertical="center"/>
    </xf>
    <xf numFmtId="0" fontId="0" fillId="0" borderId="9" xfId="0" applyFill="1" applyBorder="1" applyAlignment="1">
      <alignment horizontal="center" vertical="center"/>
    </xf>
    <xf numFmtId="42" fontId="0" fillId="0" borderId="9" xfId="0" applyNumberForma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44" fontId="0" fillId="0" borderId="9" xfId="0" applyNumberFormat="1" applyBorder="1" applyAlignment="1">
      <alignment horizontal="center" vertical="center"/>
    </xf>
    <xf numFmtId="0" fontId="0" fillId="0" borderId="9" xfId="0" applyBorder="1" applyAlignment="1">
      <alignment horizontal="center" vertical="center" wrapText="1"/>
    </xf>
    <xf numFmtId="39" fontId="0" fillId="0" borderId="9" xfId="0" applyNumberFormat="1" applyBorder="1" applyAlignment="1">
      <alignment horizontal="center" vertical="center"/>
    </xf>
    <xf numFmtId="42" fontId="0" fillId="0" borderId="9" xfId="0" applyNumberFormat="1" applyBorder="1" applyAlignment="1">
      <alignment horizontal="center" vertical="center"/>
    </xf>
    <xf numFmtId="0" fontId="23" fillId="0" borderId="0" xfId="0" applyFont="1" applyAlignment="1">
      <alignment vertical="center"/>
    </xf>
    <xf numFmtId="0" fontId="16" fillId="0" borderId="0" xfId="0" applyFont="1" applyAlignment="1">
      <alignment vertical="center"/>
    </xf>
    <xf numFmtId="0" fontId="2" fillId="11" borderId="9" xfId="0" applyFont="1" applyFill="1" applyBorder="1" applyAlignment="1">
      <alignment horizontal="center" vertical="center"/>
    </xf>
    <xf numFmtId="171" fontId="0" fillId="0" borderId="9" xfId="0" applyNumberFormat="1" applyBorder="1" applyAlignment="1">
      <alignment horizontal="center" vertical="center"/>
    </xf>
    <xf numFmtId="37" fontId="0" fillId="0" borderId="9"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Border="1" applyAlignment="1">
      <alignment horizontal="left" vertical="center" wrapText="1"/>
    </xf>
    <xf numFmtId="0" fontId="10" fillId="0" borderId="0" xfId="0" applyFont="1" applyBorder="1" applyAlignment="1">
      <alignment horizontal="left" vertical="center"/>
    </xf>
    <xf numFmtId="44" fontId="4" fillId="2" borderId="0" xfId="1" applyNumberFormat="1" applyFont="1" applyFill="1" applyBorder="1" applyAlignment="1">
      <alignment horizontal="right" vertical="center"/>
    </xf>
    <xf numFmtId="37" fontId="0" fillId="2" borderId="0" xfId="0" applyNumberFormat="1" applyFill="1" applyBorder="1" applyAlignment="1">
      <alignment vertical="center"/>
    </xf>
    <xf numFmtId="6" fontId="0" fillId="0" borderId="9" xfId="0" applyNumberFormat="1" applyBorder="1" applyAlignment="1">
      <alignment horizontal="center" vertical="center" wrapText="1"/>
    </xf>
    <xf numFmtId="1" fontId="0" fillId="2" borderId="0" xfId="0" applyNumberFormat="1" applyFill="1" applyBorder="1" applyAlignment="1">
      <alignment vertical="center"/>
    </xf>
    <xf numFmtId="0" fontId="20" fillId="0" borderId="9"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0" borderId="0" xfId="0" applyBorder="1" applyAlignment="1">
      <alignment horizontal="left" vertical="center" wrapText="1"/>
    </xf>
    <xf numFmtId="166" fontId="0" fillId="3" borderId="9" xfId="1" applyNumberFormat="1" applyFont="1" applyFill="1" applyBorder="1" applyAlignment="1">
      <alignment horizontal="center" vertical="center"/>
    </xf>
    <xf numFmtId="166" fontId="0" fillId="0" borderId="0" xfId="3" applyNumberFormat="1" applyFont="1" applyFill="1" applyBorder="1" applyAlignment="1">
      <alignment horizontal="center" vertical="center"/>
    </xf>
    <xf numFmtId="166" fontId="0" fillId="0" borderId="9" xfId="3" applyNumberFormat="1" applyFont="1" applyFill="1" applyBorder="1" applyAlignment="1">
      <alignment horizontal="center" vertical="center"/>
    </xf>
    <xf numFmtId="49" fontId="0" fillId="0" borderId="0" xfId="0" applyNumberFormat="1" applyAlignment="1">
      <alignment horizontal="center"/>
    </xf>
    <xf numFmtId="0" fontId="0" fillId="0" borderId="9" xfId="3" applyNumberFormat="1" applyFont="1" applyFill="1" applyBorder="1" applyAlignment="1">
      <alignment horizontal="center" vertical="center"/>
    </xf>
    <xf numFmtId="0" fontId="0" fillId="3" borderId="9" xfId="0" applyFill="1" applyBorder="1" applyAlignment="1">
      <alignment horizontal="center" vertical="center"/>
    </xf>
    <xf numFmtId="0" fontId="0" fillId="0" borderId="0" xfId="0" applyBorder="1" applyAlignment="1">
      <alignment horizontal="left" vertical="center" wrapText="1"/>
    </xf>
    <xf numFmtId="0" fontId="0" fillId="3" borderId="9" xfId="0" applyFill="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center" vertical="center"/>
    </xf>
    <xf numFmtId="0" fontId="25" fillId="0" borderId="6" xfId="0" applyFont="1" applyBorder="1" applyAlignment="1">
      <alignment vertical="center" wrapText="1"/>
    </xf>
    <xf numFmtId="0" fontId="25" fillId="0" borderId="0" xfId="0" applyFont="1" applyBorder="1" applyAlignment="1">
      <alignment vertical="center" wrapText="1"/>
    </xf>
    <xf numFmtId="0" fontId="0" fillId="0" borderId="0" xfId="0" applyFont="1" applyBorder="1" applyAlignment="1">
      <alignment vertical="center" wrapText="1"/>
    </xf>
    <xf numFmtId="0" fontId="2" fillId="0" borderId="1" xfId="0" applyFont="1" applyFill="1" applyBorder="1" applyAlignment="1">
      <alignment vertical="center"/>
    </xf>
    <xf numFmtId="0" fontId="0" fillId="0" borderId="0" xfId="0" applyBorder="1" applyAlignment="1">
      <alignment horizontal="left" vertical="center" wrapText="1"/>
    </xf>
    <xf numFmtId="0" fontId="0" fillId="13" borderId="9"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168" fontId="0" fillId="0" borderId="0" xfId="3" applyNumberFormat="1" applyFont="1" applyFill="1" applyBorder="1" applyAlignment="1">
      <alignment vertical="center"/>
    </xf>
    <xf numFmtId="164" fontId="0" fillId="0" borderId="9" xfId="1" applyNumberFormat="1" applyFont="1" applyFill="1" applyBorder="1" applyAlignment="1">
      <alignment horizontal="center" vertical="center"/>
    </xf>
    <xf numFmtId="164" fontId="0" fillId="3" borderId="9" xfId="1" applyNumberFormat="1" applyFont="1" applyFill="1" applyBorder="1" applyAlignment="1">
      <alignment horizontal="center" vertical="center"/>
    </xf>
    <xf numFmtId="164" fontId="0" fillId="4" borderId="0" xfId="1" applyNumberFormat="1" applyFont="1" applyFill="1" applyBorder="1" applyAlignment="1">
      <alignment vertical="center" wrapText="1"/>
    </xf>
    <xf numFmtId="166" fontId="0" fillId="0" borderId="0" xfId="0" applyNumberFormat="1" applyFill="1" applyBorder="1" applyAlignment="1">
      <alignment vertical="center" wrapText="1"/>
    </xf>
    <xf numFmtId="168" fontId="0" fillId="4" borderId="9" xfId="3" applyNumberFormat="1" applyFont="1" applyFill="1" applyBorder="1" applyAlignment="1">
      <alignment vertical="center"/>
    </xf>
    <xf numFmtId="168" fontId="0" fillId="0" borderId="0" xfId="3" applyNumberFormat="1" applyFont="1" applyFill="1" applyBorder="1" applyAlignment="1">
      <alignment vertical="center" wrapText="1"/>
    </xf>
    <xf numFmtId="164" fontId="0" fillId="0" borderId="0" xfId="1" applyNumberFormat="1" applyFont="1" applyFill="1" applyBorder="1" applyAlignment="1">
      <alignment vertical="center" wrapText="1"/>
    </xf>
    <xf numFmtId="0" fontId="0" fillId="3" borderId="9" xfId="3" applyNumberFormat="1" applyFont="1" applyFill="1" applyBorder="1" applyAlignment="1">
      <alignment horizontal="center" vertical="center"/>
    </xf>
    <xf numFmtId="170" fontId="0" fillId="0" borderId="0" xfId="1" applyNumberFormat="1" applyFont="1" applyFill="1" applyBorder="1" applyAlignment="1">
      <alignment vertical="center"/>
    </xf>
    <xf numFmtId="44" fontId="0" fillId="4" borderId="0" xfId="1" applyFont="1" applyFill="1" applyBorder="1" applyAlignment="1">
      <alignment horizontal="left" vertical="center" wrapText="1"/>
    </xf>
    <xf numFmtId="44" fontId="0" fillId="4" borderId="0" xfId="1" applyFont="1" applyFill="1" applyBorder="1" applyAlignment="1">
      <alignment horizontal="right" vertical="center" wrapText="1"/>
    </xf>
    <xf numFmtId="0" fontId="3" fillId="0" borderId="0" xfId="0" applyFont="1" applyBorder="1" applyAlignment="1">
      <alignment horizontal="left" vertical="center"/>
    </xf>
    <xf numFmtId="0" fontId="0" fillId="0" borderId="0" xfId="0"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9" xfId="0" applyFill="1" applyBorder="1" applyAlignment="1">
      <alignment horizontal="center" vertical="center"/>
    </xf>
    <xf numFmtId="0" fontId="22" fillId="0" borderId="14" xfId="0" applyFont="1" applyFill="1" applyBorder="1" applyAlignment="1">
      <alignment horizontal="center" vertical="top"/>
    </xf>
    <xf numFmtId="0" fontId="22" fillId="0" borderId="19" xfId="0" applyFont="1" applyFill="1" applyBorder="1" applyAlignment="1">
      <alignment horizontal="center" vertical="top"/>
    </xf>
    <xf numFmtId="0" fontId="0" fillId="0" borderId="0" xfId="0" applyAlignment="1">
      <alignment horizontal="left"/>
    </xf>
    <xf numFmtId="0" fontId="0" fillId="0" borderId="0" xfId="0" applyBorder="1" applyAlignment="1">
      <alignment horizontal="left" vertical="top" wrapText="1"/>
    </xf>
    <xf numFmtId="0" fontId="0" fillId="0" borderId="0" xfId="0" applyAlignment="1">
      <alignment horizontal="left" wrapText="1"/>
    </xf>
    <xf numFmtId="0" fontId="0" fillId="14" borderId="3" xfId="0" applyFill="1" applyBorder="1" applyAlignment="1">
      <alignment horizontal="left" vertical="top" wrapText="1"/>
    </xf>
    <xf numFmtId="0" fontId="0" fillId="14" borderId="1" xfId="0" applyFill="1" applyBorder="1" applyAlignment="1">
      <alignment horizontal="left" vertical="top" wrapText="1"/>
    </xf>
    <xf numFmtId="0" fontId="0" fillId="14" borderId="4"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8" xfId="0" applyFill="1" applyBorder="1" applyAlignment="1">
      <alignment horizontal="left" vertical="top" wrapText="1"/>
    </xf>
    <xf numFmtId="0" fontId="0" fillId="9" borderId="6" xfId="0" applyFill="1" applyBorder="1" applyAlignment="1">
      <alignment horizontal="left" vertical="top" wrapText="1"/>
    </xf>
    <xf numFmtId="0" fontId="0" fillId="9" borderId="0" xfId="0" applyFill="1" applyBorder="1" applyAlignment="1">
      <alignment horizontal="left" vertical="top" wrapText="1"/>
    </xf>
    <xf numFmtId="0" fontId="0" fillId="9" borderId="8" xfId="0" applyFill="1" applyBorder="1" applyAlignment="1">
      <alignment horizontal="left" vertical="top" wrapText="1"/>
    </xf>
    <xf numFmtId="0" fontId="2" fillId="3" borderId="5" xfId="0" applyFont="1" applyFill="1" applyBorder="1" applyAlignment="1">
      <alignment horizontal="left" vertical="center"/>
    </xf>
    <xf numFmtId="0" fontId="2" fillId="3" borderId="2" xfId="0" applyFont="1" applyFill="1" applyBorder="1" applyAlignment="1">
      <alignment horizontal="left" vertical="center"/>
    </xf>
    <xf numFmtId="0" fontId="2" fillId="3" borderId="7" xfId="0" applyFont="1" applyFill="1" applyBorder="1" applyAlignment="1">
      <alignment horizontal="left" vertical="center"/>
    </xf>
    <xf numFmtId="0" fontId="2" fillId="9" borderId="6" xfId="0" applyFont="1" applyFill="1" applyBorder="1" applyAlignment="1">
      <alignment horizontal="left" wrapText="1"/>
    </xf>
    <xf numFmtId="0" fontId="2" fillId="9" borderId="0" xfId="0" applyFont="1" applyFill="1" applyBorder="1" applyAlignment="1">
      <alignment horizontal="left" wrapText="1"/>
    </xf>
    <xf numFmtId="0" fontId="2" fillId="9" borderId="8" xfId="0" applyFont="1" applyFill="1" applyBorder="1" applyAlignment="1">
      <alignment horizontal="left" wrapText="1"/>
    </xf>
    <xf numFmtId="0" fontId="2" fillId="14" borderId="6" xfId="0" applyFont="1" applyFill="1" applyBorder="1" applyAlignment="1">
      <alignment horizontal="left" wrapText="1"/>
    </xf>
    <xf numFmtId="0" fontId="2" fillId="14" borderId="0" xfId="0" applyFont="1" applyFill="1" applyBorder="1" applyAlignment="1">
      <alignment horizontal="left" wrapText="1"/>
    </xf>
    <xf numFmtId="0" fontId="2" fillId="14" borderId="8" xfId="0" applyFont="1" applyFill="1" applyBorder="1" applyAlignment="1">
      <alignment horizontal="left" wrapText="1"/>
    </xf>
    <xf numFmtId="0" fontId="0" fillId="13" borderId="9" xfId="0" applyFill="1" applyBorder="1" applyAlignment="1">
      <alignment horizontal="center" vertical="center"/>
    </xf>
    <xf numFmtId="0" fontId="0" fillId="12" borderId="9" xfId="0"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0" fillId="9" borderId="9" xfId="0"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xf>
    <xf numFmtId="0" fontId="0" fillId="0" borderId="0" xfId="0" applyBorder="1" applyAlignment="1">
      <alignment horizontal="left" vertical="center"/>
    </xf>
    <xf numFmtId="0" fontId="0" fillId="3" borderId="10" xfId="1" applyNumberFormat="1" applyFont="1" applyFill="1" applyBorder="1" applyAlignment="1">
      <alignment horizontal="center" vertical="center"/>
    </xf>
    <xf numFmtId="0" fontId="0" fillId="3" borderId="12" xfId="1" applyNumberFormat="1" applyFont="1" applyFill="1" applyBorder="1" applyAlignment="1">
      <alignment horizontal="center" vertical="center"/>
    </xf>
    <xf numFmtId="166" fontId="0" fillId="3" borderId="9" xfId="1" applyNumberFormat="1" applyFont="1" applyFill="1" applyBorder="1" applyAlignment="1">
      <alignment horizontal="center" vertical="center"/>
    </xf>
    <xf numFmtId="0" fontId="0" fillId="0" borderId="10" xfId="1" applyNumberFormat="1" applyFont="1" applyFill="1" applyBorder="1" applyAlignment="1">
      <alignment horizontal="center" vertical="center"/>
    </xf>
    <xf numFmtId="0" fontId="0" fillId="0" borderId="12" xfId="1" applyNumberFormat="1" applyFont="1" applyFill="1" applyBorder="1" applyAlignment="1">
      <alignment horizontal="center" vertical="center"/>
    </xf>
    <xf numFmtId="44" fontId="0" fillId="0" borderId="9" xfId="1" applyFont="1" applyFill="1" applyBorder="1" applyAlignment="1">
      <alignment horizontal="center" vertical="center"/>
    </xf>
    <xf numFmtId="0" fontId="4"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3" fillId="7" borderId="0" xfId="0" applyFont="1" applyFill="1" applyBorder="1" applyAlignment="1">
      <alignment horizontal="left" vertical="center"/>
    </xf>
    <xf numFmtId="0" fontId="0" fillId="0" borderId="9" xfId="0" applyFill="1" applyBorder="1" applyAlignment="1">
      <alignment horizontal="center" vertical="center"/>
    </xf>
    <xf numFmtId="0" fontId="13" fillId="3" borderId="9" xfId="4" applyFill="1" applyBorder="1" applyAlignment="1">
      <alignment horizontal="center" vertical="center"/>
    </xf>
    <xf numFmtId="0" fontId="0" fillId="3" borderId="9" xfId="0" applyFill="1" applyBorder="1" applyAlignment="1">
      <alignment horizontal="left" vertical="center"/>
    </xf>
    <xf numFmtId="166" fontId="0" fillId="3" borderId="10" xfId="1" applyNumberFormat="1" applyFont="1" applyFill="1" applyBorder="1" applyAlignment="1">
      <alignment horizontal="center" vertical="center"/>
    </xf>
    <xf numFmtId="166" fontId="0" fillId="3" borderId="11" xfId="1" applyNumberFormat="1" applyFont="1" applyFill="1" applyBorder="1" applyAlignment="1">
      <alignment horizontal="center" vertical="center"/>
    </xf>
    <xf numFmtId="166" fontId="0" fillId="3" borderId="12" xfId="1" applyNumberFormat="1" applyFont="1"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3" fillId="4" borderId="0" xfId="0" applyFont="1" applyFill="1" applyBorder="1" applyAlignment="1">
      <alignment horizontal="left" vertical="center"/>
    </xf>
    <xf numFmtId="0" fontId="0" fillId="0" borderId="9" xfId="0" applyFill="1" applyBorder="1" applyAlignment="1">
      <alignment horizontal="left" vertical="center"/>
    </xf>
    <xf numFmtId="0" fontId="0" fillId="0" borderId="11" xfId="1" applyNumberFormat="1" applyFont="1" applyFill="1" applyBorder="1" applyAlignment="1">
      <alignment horizontal="center" vertical="center"/>
    </xf>
    <xf numFmtId="166" fontId="0" fillId="0" borderId="9" xfId="1"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horizontal="left" vertical="center" wrapText="1"/>
    </xf>
    <xf numFmtId="0" fontId="0" fillId="3" borderId="11" xfId="1" applyNumberFormat="1" applyFont="1" applyFill="1" applyBorder="1" applyAlignment="1">
      <alignment horizontal="center" vertical="center"/>
    </xf>
    <xf numFmtId="0" fontId="0" fillId="0" borderId="0" xfId="0" applyAlignment="1">
      <alignment horizontal="left" vertical="center" wrapText="1"/>
    </xf>
    <xf numFmtId="0" fontId="0" fillId="3" borderId="9" xfId="0" applyFill="1" applyBorder="1" applyAlignment="1" applyProtection="1">
      <alignment horizontal="center" vertical="center"/>
      <protection locked="0"/>
    </xf>
    <xf numFmtId="168" fontId="0" fillId="3" borderId="9" xfId="3" applyNumberFormat="1" applyFont="1" applyFill="1" applyBorder="1" applyAlignment="1">
      <alignment horizontal="center" vertical="center"/>
    </xf>
    <xf numFmtId="164" fontId="0" fillId="3" borderId="9" xfId="1" applyNumberFormat="1" applyFont="1" applyFill="1" applyBorder="1" applyAlignment="1">
      <alignment horizontal="left" vertical="center"/>
    </xf>
    <xf numFmtId="168" fontId="0" fillId="0" borderId="9" xfId="3" applyNumberFormat="1" applyFont="1" applyFill="1" applyBorder="1" applyAlignment="1">
      <alignment horizontal="center" vertical="center"/>
    </xf>
    <xf numFmtId="0" fontId="0" fillId="0" borderId="6" xfId="0" quotePrefix="1" applyBorder="1" applyAlignment="1">
      <alignment horizontal="left" vertical="center" wrapText="1"/>
    </xf>
    <xf numFmtId="0" fontId="0" fillId="0" borderId="0" xfId="0" quotePrefix="1" applyBorder="1" applyAlignment="1">
      <alignment horizontal="left" vertical="center" wrapText="1"/>
    </xf>
    <xf numFmtId="0" fontId="8" fillId="4" borderId="0" xfId="0" applyFont="1" applyFill="1" applyAlignment="1">
      <alignment horizontal="left" vertical="center" wrapText="1"/>
    </xf>
    <xf numFmtId="0" fontId="8" fillId="4" borderId="0" xfId="0" applyFont="1" applyFill="1" applyAlignment="1">
      <alignment horizontal="left" vertical="center"/>
    </xf>
    <xf numFmtId="164" fontId="0" fillId="0" borderId="9" xfId="1" applyNumberFormat="1" applyFont="1" applyFill="1" applyBorder="1" applyAlignment="1">
      <alignment horizontal="left" vertical="center"/>
    </xf>
    <xf numFmtId="0" fontId="2" fillId="0" borderId="0" xfId="0" applyFont="1" applyAlignment="1">
      <alignment horizontal="center"/>
    </xf>
    <xf numFmtId="0" fontId="5" fillId="0" borderId="0" xfId="0" applyFont="1" applyAlignment="1">
      <alignment horizontal="right" vertical="center"/>
    </xf>
    <xf numFmtId="0" fontId="0" fillId="0" borderId="0" xfId="0" applyAlignment="1">
      <alignment horizontal="right" vertical="center"/>
    </xf>
    <xf numFmtId="0" fontId="0" fillId="3" borderId="10" xfId="1" applyNumberFormat="1" applyFont="1" applyFill="1" applyBorder="1" applyAlignment="1">
      <alignment horizontal="center" vertical="center" wrapText="1"/>
    </xf>
    <xf numFmtId="0" fontId="0" fillId="3" borderId="11" xfId="1" applyNumberFormat="1" applyFont="1" applyFill="1" applyBorder="1" applyAlignment="1">
      <alignment horizontal="center" vertical="center" wrapText="1"/>
    </xf>
    <xf numFmtId="0" fontId="0" fillId="3" borderId="12" xfId="1"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0" xfId="1" applyNumberFormat="1" applyFont="1" applyFill="1" applyBorder="1" applyAlignment="1">
      <alignment horizontal="center" vertical="center" wrapText="1"/>
    </xf>
    <xf numFmtId="0" fontId="0" fillId="0" borderId="11" xfId="1" applyNumberFormat="1" applyFont="1" applyFill="1" applyBorder="1" applyAlignment="1">
      <alignment horizontal="center" vertical="center" wrapText="1"/>
    </xf>
    <xf numFmtId="0" fontId="0" fillId="0" borderId="12" xfId="1" applyNumberFormat="1" applyFont="1" applyFill="1" applyBorder="1" applyAlignment="1">
      <alignment horizontal="center" vertical="center" wrapText="1"/>
    </xf>
    <xf numFmtId="0" fontId="0" fillId="0" borderId="10" xfId="1" applyNumberFormat="1" applyFont="1" applyFill="1" applyBorder="1" applyAlignment="1">
      <alignment horizontal="left" vertical="center" wrapText="1"/>
    </xf>
    <xf numFmtId="0" fontId="0" fillId="0" borderId="11" xfId="1" applyNumberFormat="1" applyFont="1" applyFill="1" applyBorder="1" applyAlignment="1">
      <alignment horizontal="left" vertical="center" wrapText="1"/>
    </xf>
    <xf numFmtId="0" fontId="0" fillId="0" borderId="12" xfId="1"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1" xfId="0" applyFill="1" applyBorder="1" applyAlignment="1">
      <alignment horizontal="left" vertical="center" wrapText="1"/>
    </xf>
    <xf numFmtId="0" fontId="3" fillId="4" borderId="0" xfId="0" applyFont="1" applyFill="1" applyAlignment="1">
      <alignment horizontal="left" vertical="center"/>
    </xf>
    <xf numFmtId="0" fontId="0" fillId="9" borderId="10" xfId="0" applyFill="1" applyBorder="1" applyAlignment="1">
      <alignment horizontal="center" vertical="center"/>
    </xf>
    <xf numFmtId="0" fontId="0" fillId="9" borderId="12" xfId="0" applyFill="1" applyBorder="1" applyAlignment="1">
      <alignment horizontal="center" vertical="center"/>
    </xf>
    <xf numFmtId="0" fontId="2" fillId="0" borderId="1"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 xfId="0" applyFill="1" applyBorder="1" applyAlignment="1">
      <alignment horizontal="right" vertical="center"/>
    </xf>
    <xf numFmtId="0" fontId="0" fillId="0" borderId="17" xfId="0" applyFill="1" applyBorder="1" applyAlignment="1">
      <alignment horizontal="right" vertical="center"/>
    </xf>
    <xf numFmtId="0" fontId="0" fillId="0" borderId="5" xfId="0" applyFill="1" applyBorder="1" applyAlignment="1">
      <alignment horizontal="left" vertical="center" wrapText="1"/>
    </xf>
    <xf numFmtId="0" fontId="0" fillId="0" borderId="2" xfId="0" applyFill="1" applyBorder="1" applyAlignment="1">
      <alignment horizontal="left" vertical="center" wrapText="1"/>
    </xf>
    <xf numFmtId="0" fontId="0" fillId="0" borderId="7" xfId="0" applyFill="1" applyBorder="1" applyAlignment="1">
      <alignment horizontal="left"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1" xfId="0" applyFont="1" applyFill="1"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center" vertical="center"/>
    </xf>
    <xf numFmtId="0" fontId="10" fillId="0" borderId="0" xfId="0" applyFont="1" applyBorder="1" applyAlignment="1">
      <alignment horizontal="left" vertical="center"/>
    </xf>
    <xf numFmtId="0" fontId="0" fillId="0" borderId="8" xfId="0"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2" fillId="0" borderId="0" xfId="0" applyFont="1" applyFill="1" applyBorder="1" applyAlignment="1">
      <alignment horizontal="center" vertical="center"/>
    </xf>
    <xf numFmtId="0" fontId="0" fillId="0" borderId="9" xfId="0" applyBorder="1" applyAlignment="1">
      <alignment horizontal="left" vertical="center"/>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0" xfId="0" applyFill="1" applyBorder="1" applyAlignment="1">
      <alignment horizontal="right" vertical="center"/>
    </xf>
    <xf numFmtId="0" fontId="0" fillId="0" borderId="9"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8" xfId="0" applyFill="1" applyBorder="1" applyAlignment="1">
      <alignment horizontal="left" vertical="center" wrapText="1"/>
    </xf>
    <xf numFmtId="0" fontId="0" fillId="0" borderId="9"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 fillId="0" borderId="0" xfId="0" applyFont="1" applyFill="1" applyBorder="1" applyAlignment="1">
      <alignment horizontal="left" vertical="center"/>
    </xf>
    <xf numFmtId="166" fontId="0" fillId="3" borderId="10" xfId="1" applyNumberFormat="1" applyFont="1" applyFill="1" applyBorder="1" applyAlignment="1">
      <alignment horizontal="center" vertical="center" wrapText="1"/>
    </xf>
    <xf numFmtId="166" fontId="0" fillId="3" borderId="11" xfId="1" applyNumberFormat="1" applyFont="1" applyFill="1" applyBorder="1" applyAlignment="1">
      <alignment horizontal="center" vertical="center" wrapText="1"/>
    </xf>
    <xf numFmtId="166" fontId="0" fillId="3" borderId="12" xfId="1" applyNumberFormat="1" applyFont="1" applyFill="1" applyBorder="1" applyAlignment="1">
      <alignment horizontal="center" vertical="center" wrapText="1"/>
    </xf>
  </cellXfs>
  <cellStyles count="5">
    <cellStyle name="Comma" xfId="3" builtinId="3"/>
    <cellStyle name="Currency" xfId="1" builtinId="4"/>
    <cellStyle name="Hyperlink" xfId="4" builtinId="8"/>
    <cellStyle name="Normal" xfId="0" builtinId="0"/>
    <cellStyle name="Normal 2" xfId="2"/>
  </cellStyles>
  <dxfs count="529">
    <dxf>
      <font>
        <color theme="0" tint="-0.24994659260841701"/>
      </font>
      <fill>
        <patternFill>
          <bgColor theme="0" tint="-0.24994659260841701"/>
        </patternFill>
      </fill>
      <border>
        <left/>
        <right/>
        <top/>
        <bottom/>
        <vertical/>
        <horizontal/>
      </border>
    </dxf>
    <dxf>
      <font>
        <color theme="0" tint="-0.499984740745262"/>
      </font>
      <fill>
        <patternFill>
          <bgColor theme="0" tint="-0.24994659260841701"/>
        </patternFill>
      </fill>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499984740745262"/>
      </font>
      <fill>
        <patternFill>
          <bgColor theme="0" tint="-0.24994659260841701"/>
        </patternFill>
      </fill>
    </dxf>
    <dxf>
      <font>
        <color theme="0" tint="-0.2499465926084170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34998626667073579"/>
      </font>
      <fill>
        <patternFill>
          <bgColor rgb="FFFFC000"/>
        </patternFill>
      </fill>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vertical/>
        <horizontal/>
      </border>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24994659260841701"/>
        </patternFill>
      </fill>
      <border>
        <left/>
        <right/>
        <top/>
        <bottom/>
        <vertical/>
        <horizontal/>
      </border>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499984740745262"/>
      </font>
      <fill>
        <patternFill>
          <bgColor theme="0" tint="-0.24994659260841701"/>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499984740745262"/>
      </font>
      <fill>
        <patternFill>
          <bgColor theme="0" tint="-0.24994659260841701"/>
        </patternFill>
      </fill>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499984740745262"/>
      </font>
      <fill>
        <patternFill>
          <bgColor theme="0" tint="-0.24994659260841701"/>
        </patternFill>
      </fill>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14996795556505021"/>
      </font>
      <fill>
        <patternFill>
          <bgColor theme="0" tint="-0.24994659260841701"/>
        </patternFill>
      </fill>
      <border>
        <left/>
        <right/>
        <top/>
        <bottom/>
        <vertical/>
        <horizontal/>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rgb="FFFFC000"/>
        </patternFill>
      </fill>
    </dxf>
    <dxf>
      <font>
        <color theme="0" tint="-0.14996795556505021"/>
      </font>
      <fill>
        <patternFill>
          <bgColor theme="0" tint="-0.24994659260841701"/>
        </patternFill>
      </fill>
      <border>
        <left/>
        <right/>
        <top/>
        <bottom/>
      </border>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14996795556505021"/>
      </font>
      <fill>
        <patternFill>
          <bgColor theme="0" tint="-0.24994659260841701"/>
        </patternFill>
      </fill>
      <border>
        <left/>
        <right/>
        <top/>
        <bottom/>
      </border>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34998626667073579"/>
      </font>
      <fill>
        <patternFill>
          <bgColor rgb="FFFFC000"/>
        </patternFill>
      </fill>
    </dxf>
    <dxf>
      <font>
        <color theme="0" tint="-0.24994659260841701"/>
      </font>
      <fill>
        <patternFill>
          <bgColor theme="0" tint="-0.24994659260841701"/>
        </patternFill>
      </fill>
      <border>
        <left/>
        <right/>
        <top/>
        <bottom/>
      </border>
    </dxf>
    <dxf>
      <font>
        <color theme="0" tint="-0.24994659260841701"/>
      </font>
      <fill>
        <patternFill>
          <bgColor theme="0" tint="-0.24994659260841701"/>
        </patternFill>
      </fill>
      <border>
        <left/>
        <right/>
        <top/>
        <bottom/>
      </border>
    </dxf>
  </dxfs>
  <tableStyles count="0" defaultTableStyle="TableStyleMedium2" defaultPivotStyle="PivotStyleLight16"/>
  <colors>
    <mruColors>
      <color rgb="FFFF66FF"/>
      <color rgb="FFFFFF66"/>
      <color rgb="FFFF33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47626</xdr:rowOff>
    </xdr:from>
    <xdr:to>
      <xdr:col>1</xdr:col>
      <xdr:colOff>828675</xdr:colOff>
      <xdr:row>2</xdr:row>
      <xdr:rowOff>167640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6"/>
          <a:ext cx="762000" cy="6305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76199</xdr:colOff>
      <xdr:row>0</xdr:row>
      <xdr:rowOff>47625</xdr:rowOff>
    </xdr:from>
    <xdr:to>
      <xdr:col>1</xdr:col>
      <xdr:colOff>800100</xdr:colOff>
      <xdr:row>2</xdr:row>
      <xdr:rowOff>168451</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47625"/>
          <a:ext cx="723901" cy="6466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66675</xdr:colOff>
      <xdr:row>0</xdr:row>
      <xdr:rowOff>38100</xdr:rowOff>
    </xdr:from>
    <xdr:to>
      <xdr:col>1</xdr:col>
      <xdr:colOff>828675</xdr:colOff>
      <xdr:row>2</xdr:row>
      <xdr:rowOff>159134</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38100"/>
          <a:ext cx="762000" cy="6468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19051</xdr:colOff>
      <xdr:row>0</xdr:row>
      <xdr:rowOff>19050</xdr:rowOff>
    </xdr:from>
    <xdr:to>
      <xdr:col>1</xdr:col>
      <xdr:colOff>723901</xdr:colOff>
      <xdr:row>2</xdr:row>
      <xdr:rowOff>175702</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19050"/>
          <a:ext cx="704850" cy="6824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0</xdr:row>
      <xdr:rowOff>47626</xdr:rowOff>
    </xdr:from>
    <xdr:to>
      <xdr:col>1</xdr:col>
      <xdr:colOff>762000</xdr:colOff>
      <xdr:row>2</xdr:row>
      <xdr:rowOff>182881</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47626"/>
          <a:ext cx="723900" cy="666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76200</xdr:colOff>
      <xdr:row>0</xdr:row>
      <xdr:rowOff>38100</xdr:rowOff>
    </xdr:from>
    <xdr:to>
      <xdr:col>1</xdr:col>
      <xdr:colOff>695325</xdr:colOff>
      <xdr:row>2</xdr:row>
      <xdr:rowOff>182288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38100"/>
          <a:ext cx="619125" cy="669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1</xdr:col>
      <xdr:colOff>838200</xdr:colOff>
      <xdr:row>2</xdr:row>
      <xdr:rowOff>168659</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5"/>
          <a:ext cx="762000" cy="6468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76199</xdr:colOff>
      <xdr:row>0</xdr:row>
      <xdr:rowOff>47625</xdr:rowOff>
    </xdr:from>
    <xdr:to>
      <xdr:col>1</xdr:col>
      <xdr:colOff>609600</xdr:colOff>
      <xdr:row>2</xdr:row>
      <xdr:rowOff>44626</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4" y="47625"/>
          <a:ext cx="723901" cy="6466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57149</xdr:colOff>
      <xdr:row>0</xdr:row>
      <xdr:rowOff>47625</xdr:rowOff>
    </xdr:from>
    <xdr:to>
      <xdr:col>1</xdr:col>
      <xdr:colOff>752474</xdr:colOff>
      <xdr:row>3</xdr:row>
      <xdr:rowOff>15004</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4" y="47625"/>
          <a:ext cx="695325" cy="6817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76199</xdr:colOff>
      <xdr:row>0</xdr:row>
      <xdr:rowOff>47625</xdr:rowOff>
    </xdr:from>
    <xdr:to>
      <xdr:col>1</xdr:col>
      <xdr:colOff>733425</xdr:colOff>
      <xdr:row>2</xdr:row>
      <xdr:rowOff>165986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4" y="47625"/>
          <a:ext cx="657226" cy="6441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1</xdr:col>
      <xdr:colOff>781050</xdr:colOff>
      <xdr:row>2</xdr:row>
      <xdr:rowOff>191519</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8100"/>
          <a:ext cx="762000" cy="646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66674</xdr:colOff>
      <xdr:row>0</xdr:row>
      <xdr:rowOff>47626</xdr:rowOff>
    </xdr:from>
    <xdr:to>
      <xdr:col>1</xdr:col>
      <xdr:colOff>960119</xdr:colOff>
      <xdr:row>3</xdr:row>
      <xdr:rowOff>45720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4" y="47626"/>
          <a:ext cx="893445" cy="69151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1</xdr:col>
      <xdr:colOff>638175</xdr:colOff>
      <xdr:row>2</xdr:row>
      <xdr:rowOff>44834</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47625"/>
          <a:ext cx="762000" cy="64681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47625</xdr:colOff>
      <xdr:row>0</xdr:row>
      <xdr:rowOff>38100</xdr:rowOff>
    </xdr:from>
    <xdr:to>
      <xdr:col>1</xdr:col>
      <xdr:colOff>809625</xdr:colOff>
      <xdr:row>2</xdr:row>
      <xdr:rowOff>159134</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762000" cy="64681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47625</xdr:colOff>
      <xdr:row>0</xdr:row>
      <xdr:rowOff>38100</xdr:rowOff>
    </xdr:from>
    <xdr:to>
      <xdr:col>1</xdr:col>
      <xdr:colOff>609600</xdr:colOff>
      <xdr:row>2</xdr:row>
      <xdr:rowOff>49654</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38100"/>
          <a:ext cx="762000" cy="64681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66675</xdr:colOff>
      <xdr:row>0</xdr:row>
      <xdr:rowOff>38099</xdr:rowOff>
    </xdr:from>
    <xdr:to>
      <xdr:col>1</xdr:col>
      <xdr:colOff>809625</xdr:colOff>
      <xdr:row>3</xdr:row>
      <xdr:rowOff>52427</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38099"/>
          <a:ext cx="742950" cy="72870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19051</xdr:colOff>
      <xdr:row>0</xdr:row>
      <xdr:rowOff>19050</xdr:rowOff>
    </xdr:from>
    <xdr:to>
      <xdr:col>1</xdr:col>
      <xdr:colOff>609601</xdr:colOff>
      <xdr:row>2</xdr:row>
      <xdr:rowOff>42352</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19050"/>
          <a:ext cx="704850" cy="68243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68580</xdr:colOff>
      <xdr:row>0</xdr:row>
      <xdr:rowOff>22860</xdr:rowOff>
    </xdr:from>
    <xdr:to>
      <xdr:col>2</xdr:col>
      <xdr:colOff>639246</xdr:colOff>
      <xdr:row>2</xdr:row>
      <xdr:rowOff>167640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22860"/>
          <a:ext cx="837366" cy="7239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66675</xdr:colOff>
      <xdr:row>0</xdr:row>
      <xdr:rowOff>57150</xdr:rowOff>
    </xdr:from>
    <xdr:to>
      <xdr:col>2</xdr:col>
      <xdr:colOff>752475</xdr:colOff>
      <xdr:row>3</xdr:row>
      <xdr:rowOff>112395</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6695" y="57150"/>
          <a:ext cx="685800" cy="60388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68580</xdr:colOff>
      <xdr:row>0</xdr:row>
      <xdr:rowOff>22860</xdr:rowOff>
    </xdr:from>
    <xdr:to>
      <xdr:col>2</xdr:col>
      <xdr:colOff>639246</xdr:colOff>
      <xdr:row>2</xdr:row>
      <xdr:rowOff>160020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22860"/>
          <a:ext cx="837366" cy="71628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68580</xdr:colOff>
      <xdr:row>0</xdr:row>
      <xdr:rowOff>22860</xdr:rowOff>
    </xdr:from>
    <xdr:to>
      <xdr:col>2</xdr:col>
      <xdr:colOff>639246</xdr:colOff>
      <xdr:row>3</xdr:row>
      <xdr:rowOff>53340</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22860"/>
          <a:ext cx="837366" cy="79248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819150</xdr:colOff>
      <xdr:row>2</xdr:row>
      <xdr:rowOff>149609</xdr:rowOff>
    </xdr:to>
    <xdr:pic>
      <xdr:nvPicPr>
        <xdr:cNvPr id="4" name="Picture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762000" cy="6468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47626</xdr:rowOff>
    </xdr:from>
    <xdr:to>
      <xdr:col>1</xdr:col>
      <xdr:colOff>828675</xdr:colOff>
      <xdr:row>3</xdr:row>
      <xdr:rowOff>68580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355" y="47626"/>
          <a:ext cx="762000" cy="714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47626</xdr:rowOff>
    </xdr:from>
    <xdr:to>
      <xdr:col>1</xdr:col>
      <xdr:colOff>828675</xdr:colOff>
      <xdr:row>2</xdr:row>
      <xdr:rowOff>175260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6"/>
          <a:ext cx="762000" cy="638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22859</xdr:rowOff>
    </xdr:from>
    <xdr:to>
      <xdr:col>0</xdr:col>
      <xdr:colOff>975360</xdr:colOff>
      <xdr:row>2</xdr:row>
      <xdr:rowOff>60996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2859"/>
          <a:ext cx="899160" cy="7620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114299</xdr:colOff>
      <xdr:row>0</xdr:row>
      <xdr:rowOff>95250</xdr:rowOff>
    </xdr:from>
    <xdr:to>
      <xdr:col>1</xdr:col>
      <xdr:colOff>581024</xdr:colOff>
      <xdr:row>4</xdr:row>
      <xdr:rowOff>48115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95250"/>
          <a:ext cx="1076325" cy="9148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47626</xdr:rowOff>
    </xdr:from>
    <xdr:to>
      <xdr:col>1</xdr:col>
      <xdr:colOff>828675</xdr:colOff>
      <xdr:row>2</xdr:row>
      <xdr:rowOff>168660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7626"/>
          <a:ext cx="762000" cy="6468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76199</xdr:colOff>
      <xdr:row>0</xdr:row>
      <xdr:rowOff>47625</xdr:rowOff>
    </xdr:from>
    <xdr:to>
      <xdr:col>1</xdr:col>
      <xdr:colOff>609600</xdr:colOff>
      <xdr:row>2</xdr:row>
      <xdr:rowOff>44626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4" y="47625"/>
          <a:ext cx="723901" cy="6466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1</xdr:col>
      <xdr:colOff>838200</xdr:colOff>
      <xdr:row>2</xdr:row>
      <xdr:rowOff>168659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5"/>
          <a:ext cx="762000" cy="6468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e.mengelkoch\Desktop\WISDOT%20ITS%20Warra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HI_TPTO\191595003%20WisDOT%20System%20Manager\3%20Project%20Data\TISMO%20-%20TIP\0%20Benefits%20Analysis\Appropriation%20Project%20Benefits%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S Warrants"/>
      <sheetName val="DMS Warrants back page"/>
      <sheetName val="CCTV Warrants"/>
      <sheetName val="CCTV Warrants back pag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w Signal Benefits"/>
      <sheetName val="10 ITS Device Inst Benefit"/>
      <sheetName val="10 ITS Device Installation"/>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pageSetUpPr fitToPage="1"/>
  </sheetPr>
  <dimension ref="A1:O42"/>
  <sheetViews>
    <sheetView zoomScale="70" zoomScaleNormal="70" workbookViewId="0">
      <selection activeCell="E7" sqref="E7:F7"/>
    </sheetView>
  </sheetViews>
  <sheetFormatPr defaultColWidth="8.88671875" defaultRowHeight="14.4" x14ac:dyDescent="0.3"/>
  <cols>
    <col min="1" max="1" width="1.6640625" style="4" customWidth="1"/>
    <col min="2" max="2" width="12.88671875" style="4" customWidth="1"/>
    <col min="3" max="3" width="7.6640625" style="4" customWidth="1"/>
    <col min="4" max="4" width="44.88671875" style="4" customWidth="1"/>
    <col min="5" max="5" width="11.44140625" style="4" customWidth="1"/>
    <col min="6" max="6" width="31.6640625" style="4" customWidth="1"/>
    <col min="7" max="7" width="1.5546875" style="4" customWidth="1"/>
    <col min="8" max="8" width="1.33203125" style="4" customWidth="1"/>
    <col min="9" max="9" width="56" style="4" customWidth="1"/>
    <col min="10" max="16384" width="8.88671875" style="4"/>
  </cols>
  <sheetData>
    <row r="1" spans="1:9" x14ac:dyDescent="0.3">
      <c r="A1" s="7"/>
      <c r="B1" s="7"/>
      <c r="C1" s="244" t="s">
        <v>488</v>
      </c>
      <c r="E1" s="162"/>
      <c r="F1" s="162"/>
      <c r="G1" s="7"/>
      <c r="H1" s="7"/>
    </row>
    <row r="2" spans="1:9" ht="25.8" x14ac:dyDescent="0.3">
      <c r="A2" s="7"/>
      <c r="B2" s="7"/>
      <c r="C2" s="316" t="s">
        <v>521</v>
      </c>
      <c r="D2" s="316"/>
      <c r="E2" s="316"/>
      <c r="F2" s="316"/>
      <c r="G2" s="7"/>
      <c r="H2" s="7"/>
    </row>
    <row r="3" spans="1:9" x14ac:dyDescent="0.3">
      <c r="A3" s="7"/>
      <c r="B3" s="7"/>
      <c r="C3" s="7"/>
      <c r="D3" s="162"/>
      <c r="E3" s="162"/>
      <c r="F3" s="162"/>
      <c r="G3" s="7"/>
      <c r="H3" s="7"/>
    </row>
    <row r="4" spans="1:9" x14ac:dyDescent="0.3">
      <c r="A4" s="7"/>
      <c r="B4" s="7"/>
      <c r="C4" s="7"/>
      <c r="D4" s="7"/>
      <c r="E4" s="7"/>
      <c r="F4" s="7"/>
      <c r="G4" s="7"/>
      <c r="H4" s="7"/>
    </row>
    <row r="5" spans="1:9" x14ac:dyDescent="0.3">
      <c r="A5" s="7"/>
      <c r="B5" s="7"/>
      <c r="C5" s="7"/>
      <c r="D5" s="20" t="s">
        <v>2</v>
      </c>
      <c r="E5" s="321"/>
      <c r="F5" s="321"/>
      <c r="G5" s="7"/>
      <c r="H5" s="7"/>
    </row>
    <row r="6" spans="1:9" x14ac:dyDescent="0.3">
      <c r="A6" s="7"/>
      <c r="B6" s="7"/>
      <c r="C6" s="7"/>
      <c r="D6" s="20" t="s">
        <v>0</v>
      </c>
      <c r="E6" s="321"/>
      <c r="F6" s="321"/>
      <c r="G6" s="7"/>
      <c r="H6" s="7"/>
    </row>
    <row r="7" spans="1:9" x14ac:dyDescent="0.3">
      <c r="A7" s="7"/>
      <c r="B7" s="7"/>
      <c r="C7" s="7"/>
      <c r="D7" s="20" t="s">
        <v>160</v>
      </c>
      <c r="E7" s="321"/>
      <c r="F7" s="321"/>
      <c r="G7" s="7"/>
      <c r="H7" s="7"/>
    </row>
    <row r="8" spans="1:9" x14ac:dyDescent="0.3">
      <c r="A8" s="7"/>
      <c r="B8" s="7"/>
      <c r="C8" s="7"/>
      <c r="D8" s="7"/>
      <c r="E8" s="20"/>
      <c r="F8" s="7"/>
      <c r="G8" s="7"/>
      <c r="H8" s="7"/>
    </row>
    <row r="9" spans="1:9" x14ac:dyDescent="0.3">
      <c r="A9" s="7"/>
      <c r="B9" s="7"/>
      <c r="C9" s="7"/>
      <c r="D9" s="7"/>
      <c r="E9" s="20"/>
      <c r="F9" s="7"/>
      <c r="G9" s="7"/>
      <c r="H9" s="7"/>
    </row>
    <row r="10" spans="1:9" ht="28.95" customHeight="1" x14ac:dyDescent="0.3">
      <c r="B10" s="4">
        <v>1</v>
      </c>
      <c r="C10" s="317" t="s">
        <v>473</v>
      </c>
      <c r="D10" s="317"/>
      <c r="E10" s="317"/>
      <c r="F10" s="317"/>
      <c r="G10" s="242"/>
      <c r="I10" s="220"/>
    </row>
    <row r="11" spans="1:9" ht="14.4" customHeight="1" x14ac:dyDescent="0.3">
      <c r="D11" s="7"/>
      <c r="E11" s="20" t="s">
        <v>440</v>
      </c>
      <c r="F11" s="243"/>
      <c r="I11" s="215"/>
    </row>
    <row r="12" spans="1:9" ht="14.4" customHeight="1" x14ac:dyDescent="0.3">
      <c r="D12" s="7"/>
      <c r="E12" s="20" t="s">
        <v>6</v>
      </c>
      <c r="F12" s="243"/>
      <c r="I12" s="241"/>
    </row>
    <row r="13" spans="1:9" ht="14.4" customHeight="1" x14ac:dyDescent="0.3">
      <c r="D13" s="7"/>
      <c r="E13" s="20" t="s">
        <v>297</v>
      </c>
      <c r="F13" s="243"/>
      <c r="I13" s="241"/>
    </row>
    <row r="14" spans="1:9" ht="14.4" customHeight="1" x14ac:dyDescent="0.3">
      <c r="D14" s="7"/>
      <c r="E14" s="20" t="s">
        <v>441</v>
      </c>
      <c r="F14" s="243"/>
      <c r="I14" s="241"/>
    </row>
    <row r="15" spans="1:9" ht="14.4" customHeight="1" x14ac:dyDescent="0.3">
      <c r="D15" s="7"/>
      <c r="E15" s="20" t="s">
        <v>442</v>
      </c>
      <c r="F15" s="243"/>
      <c r="I15" s="241"/>
    </row>
    <row r="16" spans="1:9" ht="14.4" customHeight="1" x14ac:dyDescent="0.3">
      <c r="D16" s="7"/>
      <c r="E16" s="20" t="s">
        <v>443</v>
      </c>
      <c r="F16" s="243"/>
      <c r="I16" s="241"/>
    </row>
    <row r="17" spans="1:15" ht="14.4" customHeight="1" x14ac:dyDescent="0.3">
      <c r="D17" s="7"/>
      <c r="E17" s="20"/>
      <c r="F17" s="20"/>
      <c r="I17" s="245"/>
    </row>
    <row r="18" spans="1:15" ht="14.4" customHeight="1" x14ac:dyDescent="0.3">
      <c r="B18" s="4">
        <v>2</v>
      </c>
      <c r="C18" s="317" t="s">
        <v>529</v>
      </c>
      <c r="D18" s="317"/>
      <c r="E18" s="317"/>
      <c r="F18" s="317"/>
      <c r="G18" s="7"/>
      <c r="H18" s="7"/>
    </row>
    <row r="19" spans="1:15" ht="114.6" customHeight="1" x14ac:dyDescent="0.3">
      <c r="C19" s="318"/>
      <c r="D19" s="319"/>
      <c r="E19" s="319"/>
      <c r="F19" s="320"/>
      <c r="G19" s="7"/>
      <c r="H19" s="7"/>
      <c r="I19" s="7"/>
    </row>
    <row r="20" spans="1:15" x14ac:dyDescent="0.3">
      <c r="A20" s="7"/>
      <c r="B20" s="50"/>
      <c r="C20" s="50"/>
      <c r="D20" s="19"/>
      <c r="E20" s="8"/>
      <c r="F20" s="7"/>
      <c r="G20" s="7"/>
      <c r="H20" s="7"/>
      <c r="I20" s="7"/>
    </row>
    <row r="21" spans="1:15" ht="14.4" customHeight="1" x14ac:dyDescent="0.3">
      <c r="B21" s="4">
        <v>3</v>
      </c>
      <c r="C21" s="317" t="s">
        <v>530</v>
      </c>
      <c r="D21" s="317"/>
      <c r="E21" s="317"/>
      <c r="F21" s="317"/>
    </row>
    <row r="22" spans="1:15" x14ac:dyDescent="0.3">
      <c r="B22" s="247"/>
      <c r="C22" s="247"/>
      <c r="D22" s="247"/>
      <c r="E22" s="247"/>
      <c r="F22" s="247"/>
      <c r="G22" s="247"/>
      <c r="H22" s="247"/>
      <c r="I22" s="247"/>
      <c r="J22" s="247"/>
      <c r="K22" s="247"/>
      <c r="L22" s="247"/>
      <c r="M22" s="247"/>
      <c r="N22" s="247"/>
      <c r="O22" s="247"/>
    </row>
    <row r="23" spans="1:15" x14ac:dyDescent="0.25">
      <c r="C23" s="249" t="s">
        <v>522</v>
      </c>
      <c r="D23" s="246" t="s">
        <v>526</v>
      </c>
      <c r="E23" s="257" t="s">
        <v>525</v>
      </c>
      <c r="F23" s="259"/>
      <c r="G23" s="253"/>
      <c r="J23" s="253"/>
      <c r="K23" s="260"/>
      <c r="L23" s="250"/>
      <c r="M23" s="252"/>
      <c r="N23" s="252"/>
    </row>
    <row r="24" spans="1:15" x14ac:dyDescent="0.3">
      <c r="C24" s="254"/>
      <c r="D24" s="246"/>
      <c r="E24" s="254"/>
      <c r="F24" s="247"/>
      <c r="G24" s="253"/>
      <c r="J24" s="255"/>
      <c r="K24" s="256"/>
      <c r="L24" s="255"/>
      <c r="M24" s="247"/>
      <c r="N24" s="247"/>
    </row>
    <row r="25" spans="1:15" x14ac:dyDescent="0.25">
      <c r="C25" s="249" t="s">
        <v>522</v>
      </c>
      <c r="D25" s="246" t="s">
        <v>523</v>
      </c>
      <c r="E25" s="257" t="s">
        <v>525</v>
      </c>
      <c r="F25" s="259"/>
      <c r="G25" s="253"/>
      <c r="J25" s="253"/>
      <c r="K25" s="260"/>
      <c r="L25" s="250"/>
      <c r="M25" s="252"/>
      <c r="N25" s="252"/>
    </row>
    <row r="26" spans="1:15" x14ac:dyDescent="0.25">
      <c r="C26" s="254"/>
      <c r="D26" s="246"/>
      <c r="E26" s="247"/>
      <c r="F26" s="247"/>
      <c r="G26" s="252"/>
      <c r="J26" s="247"/>
      <c r="K26" s="247"/>
      <c r="L26" s="247"/>
      <c r="M26" s="247"/>
      <c r="N26" s="247"/>
    </row>
    <row r="27" spans="1:15" x14ac:dyDescent="0.25">
      <c r="C27" s="249" t="s">
        <v>522</v>
      </c>
      <c r="D27" s="246" t="s">
        <v>524</v>
      </c>
      <c r="E27" s="257" t="s">
        <v>525</v>
      </c>
      <c r="F27" s="259"/>
      <c r="G27" s="258"/>
      <c r="J27" s="258"/>
      <c r="K27" s="258"/>
      <c r="L27" s="258"/>
      <c r="M27" s="258"/>
      <c r="N27" s="258"/>
    </row>
    <row r="28" spans="1:15" x14ac:dyDescent="0.25">
      <c r="C28" s="254"/>
      <c r="D28" s="246"/>
      <c r="E28" s="254"/>
      <c r="F28" s="247"/>
      <c r="G28" s="252"/>
      <c r="J28" s="247"/>
      <c r="K28" s="247"/>
      <c r="L28" s="247"/>
      <c r="M28" s="247"/>
      <c r="N28" s="247"/>
    </row>
    <row r="29" spans="1:15" x14ac:dyDescent="0.25">
      <c r="C29" s="249" t="s">
        <v>522</v>
      </c>
      <c r="D29" s="246" t="s">
        <v>533</v>
      </c>
      <c r="E29" s="257" t="s">
        <v>525</v>
      </c>
      <c r="F29" s="259"/>
      <c r="G29" s="258"/>
      <c r="J29" s="258"/>
      <c r="K29" s="258"/>
      <c r="L29" s="258"/>
      <c r="M29" s="258"/>
      <c r="N29" s="258"/>
    </row>
    <row r="30" spans="1:15" x14ac:dyDescent="0.3">
      <c r="C30" s="254"/>
      <c r="D30" s="246"/>
      <c r="E30" s="254"/>
      <c r="F30" s="247"/>
      <c r="G30" s="247"/>
      <c r="J30" s="247"/>
      <c r="K30" s="247"/>
      <c r="L30" s="247"/>
      <c r="M30" s="247"/>
      <c r="N30" s="247"/>
    </row>
    <row r="31" spans="1:15" x14ac:dyDescent="0.25">
      <c r="C31" s="249" t="s">
        <v>522</v>
      </c>
      <c r="D31" s="246" t="s">
        <v>534</v>
      </c>
      <c r="E31" s="257" t="s">
        <v>525</v>
      </c>
      <c r="F31" s="259"/>
      <c r="G31" s="258"/>
      <c r="J31" s="258"/>
      <c r="K31" s="258"/>
      <c r="L31" s="258"/>
      <c r="M31" s="258"/>
      <c r="N31" s="258"/>
    </row>
    <row r="32" spans="1:15" x14ac:dyDescent="0.25">
      <c r="C32" s="257"/>
      <c r="D32" s="246"/>
      <c r="E32" s="257"/>
      <c r="F32" s="258"/>
      <c r="G32" s="258"/>
      <c r="J32" s="258"/>
      <c r="K32" s="258"/>
      <c r="L32" s="258"/>
      <c r="M32" s="258"/>
      <c r="N32" s="258"/>
    </row>
    <row r="33" spans="2:14" x14ac:dyDescent="0.25">
      <c r="C33" s="249" t="s">
        <v>522</v>
      </c>
      <c r="D33" s="246" t="s">
        <v>528</v>
      </c>
      <c r="E33" s="257" t="s">
        <v>525</v>
      </c>
      <c r="F33" s="282"/>
      <c r="G33" s="258"/>
      <c r="J33" s="258"/>
      <c r="K33" s="258"/>
      <c r="L33" s="258"/>
      <c r="M33" s="258"/>
      <c r="N33" s="258"/>
    </row>
    <row r="34" spans="2:14" x14ac:dyDescent="0.25">
      <c r="C34" s="257"/>
      <c r="D34" s="246"/>
      <c r="E34" s="257"/>
      <c r="F34" s="258"/>
      <c r="G34" s="258"/>
      <c r="J34" s="258"/>
      <c r="K34" s="258"/>
      <c r="L34" s="258"/>
      <c r="M34" s="258"/>
      <c r="N34" s="258"/>
    </row>
    <row r="35" spans="2:14" x14ac:dyDescent="0.25">
      <c r="C35" s="249" t="s">
        <v>522</v>
      </c>
      <c r="D35" s="246" t="s">
        <v>527</v>
      </c>
      <c r="E35" s="257" t="s">
        <v>525</v>
      </c>
      <c r="F35" s="322"/>
      <c r="G35" s="258"/>
      <c r="J35" s="258"/>
      <c r="K35" s="258"/>
      <c r="L35" s="258"/>
      <c r="M35" s="258"/>
      <c r="N35" s="258"/>
    </row>
    <row r="36" spans="2:14" x14ac:dyDescent="0.25">
      <c r="B36" s="248"/>
      <c r="C36" s="248"/>
      <c r="D36" s="251"/>
      <c r="E36" s="248"/>
      <c r="F36" s="323"/>
      <c r="G36" s="258"/>
      <c r="J36" s="258"/>
      <c r="K36" s="258"/>
      <c r="L36" s="258"/>
      <c r="M36" s="258"/>
      <c r="N36" s="258"/>
    </row>
    <row r="38" spans="2:14" ht="14.4" customHeight="1" x14ac:dyDescent="0.3">
      <c r="B38" s="4">
        <v>4</v>
      </c>
      <c r="C38" s="317" t="s">
        <v>531</v>
      </c>
      <c r="D38" s="317"/>
      <c r="E38" s="317"/>
      <c r="F38" s="317"/>
    </row>
    <row r="39" spans="2:14" ht="88.2" customHeight="1" x14ac:dyDescent="0.3">
      <c r="C39" s="318"/>
      <c r="D39" s="319"/>
      <c r="E39" s="319"/>
      <c r="F39" s="320"/>
    </row>
    <row r="41" spans="2:14" ht="14.4" customHeight="1" x14ac:dyDescent="0.3">
      <c r="B41" s="4">
        <v>5</v>
      </c>
      <c r="C41" s="317" t="s">
        <v>532</v>
      </c>
      <c r="D41" s="317"/>
      <c r="E41" s="317"/>
      <c r="F41" s="317"/>
    </row>
    <row r="42" spans="2:14" ht="61.95" customHeight="1" x14ac:dyDescent="0.3">
      <c r="C42" s="318"/>
      <c r="D42" s="319"/>
      <c r="E42" s="319"/>
      <c r="F42" s="320"/>
    </row>
  </sheetData>
  <mergeCells count="13">
    <mergeCell ref="C38:F38"/>
    <mergeCell ref="C39:F39"/>
    <mergeCell ref="C41:F41"/>
    <mergeCell ref="C42:F42"/>
    <mergeCell ref="F35:F36"/>
    <mergeCell ref="C2:F2"/>
    <mergeCell ref="C10:F10"/>
    <mergeCell ref="C18:F18"/>
    <mergeCell ref="C19:F19"/>
    <mergeCell ref="C21:F21"/>
    <mergeCell ref="E5:F5"/>
    <mergeCell ref="E6:F6"/>
    <mergeCell ref="E7:F7"/>
  </mergeCells>
  <conditionalFormatting sqref="G19:G20">
    <cfRule type="expression" dxfId="528" priority="2">
      <formula>#REF!="NO"</formula>
    </cfRule>
  </conditionalFormatting>
  <pageMargins left="0.7" right="0.7" top="0.75" bottom="0.75" header="0.3" footer="0.3"/>
  <pageSetup scale="80"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'drop-downs'!$AR$2:$AR$4</xm:f>
          </x14:formula1>
          <xm:sqref>F11:F16</xm:sqref>
        </x14:dataValidation>
        <x14:dataValidation type="list" showInputMessage="1" showErrorMessage="1" promptTitle="Region">
          <x14:formula1>
            <xm:f>'drop-downs'!$I$2:$I$7</xm:f>
          </x14:formula1>
          <xm:sqref>E5:F5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O159"/>
  <sheetViews>
    <sheetView zoomScaleNormal="100" workbookViewId="0">
      <selection activeCell="D23" sqref="D23"/>
    </sheetView>
  </sheetViews>
  <sheetFormatPr defaultColWidth="8.88671875" defaultRowHeight="14.4" x14ac:dyDescent="0.3"/>
  <cols>
    <col min="1" max="1" width="1.33203125" style="4" customWidth="1"/>
    <col min="2" max="2" width="12.6640625" style="4" customWidth="1"/>
    <col min="3" max="3" width="44.88671875" style="4" customWidth="1"/>
    <col min="4" max="4" width="11.44140625" style="4" customWidth="1"/>
    <col min="5" max="5" width="29" style="4" customWidth="1"/>
    <col min="6" max="6" width="1" style="4" customWidth="1"/>
    <col min="7" max="7" width="1.109375" style="4" customWidth="1"/>
    <col min="8" max="8" width="10.109375" style="4" bestFit="1" customWidth="1"/>
    <col min="9" max="16384" width="8.88671875" style="4"/>
  </cols>
  <sheetData>
    <row r="1" spans="1:7" x14ac:dyDescent="0.3">
      <c r="A1" s="7"/>
      <c r="B1" s="7"/>
      <c r="C1" s="129" t="s">
        <v>239</v>
      </c>
      <c r="D1" s="7"/>
      <c r="E1" s="7"/>
      <c r="F1" s="7"/>
      <c r="G1" s="7"/>
    </row>
    <row r="2" spans="1:7" ht="25.8" x14ac:dyDescent="0.3">
      <c r="A2" s="7"/>
      <c r="B2" s="7"/>
      <c r="C2" s="371" t="s">
        <v>67</v>
      </c>
      <c r="D2" s="371"/>
      <c r="E2" s="371"/>
      <c r="F2" s="7"/>
      <c r="G2" s="7"/>
    </row>
    <row r="3" spans="1:7" x14ac:dyDescent="0.3">
      <c r="A3" s="7"/>
      <c r="B3" s="7"/>
      <c r="F3" s="7"/>
      <c r="G3" s="7"/>
    </row>
    <row r="4" spans="1:7" x14ac:dyDescent="0.3">
      <c r="A4" s="7"/>
      <c r="B4" s="7"/>
      <c r="C4" s="7"/>
      <c r="D4" s="7"/>
      <c r="E4" s="7"/>
      <c r="F4" s="7"/>
      <c r="G4" s="7"/>
    </row>
    <row r="5" spans="1:7" x14ac:dyDescent="0.3">
      <c r="A5" s="7"/>
      <c r="B5" s="7"/>
      <c r="C5" s="120" t="s">
        <v>2</v>
      </c>
      <c r="D5" s="363">
        <f>'2 Signal Replace'!D5:E5</f>
        <v>0</v>
      </c>
      <c r="E5" s="363"/>
      <c r="F5" s="7"/>
      <c r="G5" s="7"/>
    </row>
    <row r="6" spans="1:7" x14ac:dyDescent="0.3">
      <c r="A6" s="7"/>
      <c r="B6" s="7"/>
      <c r="C6" s="120" t="s">
        <v>0</v>
      </c>
      <c r="D6" s="363">
        <f>'2 Signal Replace'!D6:E6</f>
        <v>0</v>
      </c>
      <c r="E6" s="363"/>
      <c r="F6" s="7"/>
      <c r="G6" s="7"/>
    </row>
    <row r="7" spans="1:7" x14ac:dyDescent="0.3">
      <c r="A7" s="7"/>
      <c r="B7" s="7"/>
      <c r="C7" s="20" t="s">
        <v>160</v>
      </c>
      <c r="D7" s="363">
        <f>'2 Signal Replace'!D7:E7</f>
        <v>0</v>
      </c>
      <c r="E7" s="363"/>
      <c r="F7" s="7"/>
      <c r="G7" s="7"/>
    </row>
    <row r="8" spans="1:7" x14ac:dyDescent="0.3">
      <c r="A8" s="7"/>
      <c r="B8" s="7"/>
      <c r="C8" s="15"/>
      <c r="D8" s="120"/>
      <c r="E8" s="15"/>
      <c r="F8" s="7"/>
      <c r="G8" s="7"/>
    </row>
    <row r="9" spans="1:7" x14ac:dyDescent="0.3">
      <c r="A9" s="7"/>
      <c r="B9" s="7"/>
      <c r="C9" s="15"/>
      <c r="D9" s="120"/>
      <c r="E9" s="15"/>
      <c r="F9" s="7"/>
      <c r="G9" s="7"/>
    </row>
    <row r="10" spans="1:7" x14ac:dyDescent="0.3">
      <c r="A10" s="7"/>
      <c r="B10" s="50">
        <v>1</v>
      </c>
      <c r="C10" s="19" t="s">
        <v>233</v>
      </c>
      <c r="D10" s="374">
        <f>'2 Signal Replace'!D10:E10</f>
        <v>0</v>
      </c>
      <c r="E10" s="374"/>
      <c r="F10" s="7"/>
      <c r="G10" s="7"/>
    </row>
    <row r="11" spans="1:7" x14ac:dyDescent="0.3">
      <c r="A11" s="7"/>
      <c r="B11" s="50"/>
      <c r="C11" s="38"/>
      <c r="D11" s="14"/>
      <c r="E11" s="15"/>
      <c r="F11" s="7"/>
      <c r="G11" s="7"/>
    </row>
    <row r="12" spans="1:7" x14ac:dyDescent="0.3">
      <c r="A12" s="7"/>
      <c r="B12" s="50">
        <v>2</v>
      </c>
      <c r="C12" s="107" t="s">
        <v>16</v>
      </c>
      <c r="D12" s="372">
        <f>'2 Signal Replace'!D12:E12</f>
        <v>0</v>
      </c>
      <c r="E12" s="372"/>
      <c r="F12" s="7"/>
      <c r="G12" s="7"/>
    </row>
    <row r="13" spans="1:7" x14ac:dyDescent="0.3">
      <c r="A13" s="7"/>
      <c r="B13" s="50"/>
      <c r="C13" s="107"/>
      <c r="D13" s="111"/>
      <c r="E13" s="111"/>
      <c r="F13" s="7"/>
      <c r="G13" s="7"/>
    </row>
    <row r="14" spans="1:7" x14ac:dyDescent="0.3">
      <c r="A14" s="7"/>
      <c r="B14" s="50">
        <v>3</v>
      </c>
      <c r="C14" s="107" t="s">
        <v>71</v>
      </c>
      <c r="D14" s="372" t="str">
        <f>'2 Signal Replace'!D14:E14</f>
        <v>Other</v>
      </c>
      <c r="E14" s="372"/>
      <c r="F14" s="7"/>
      <c r="G14" s="7"/>
    </row>
    <row r="15" spans="1:7" x14ac:dyDescent="0.3">
      <c r="A15" s="7"/>
      <c r="B15" s="50"/>
      <c r="C15" s="317" t="s">
        <v>185</v>
      </c>
      <c r="D15" s="317"/>
      <c r="E15" s="317"/>
      <c r="F15" s="7"/>
      <c r="G15" s="7"/>
    </row>
    <row r="16" spans="1:7" ht="30" customHeight="1" x14ac:dyDescent="0.3">
      <c r="A16" s="7"/>
      <c r="B16" s="50"/>
      <c r="C16" s="356">
        <f>'2 Signal Replace'!C16:E16</f>
        <v>0</v>
      </c>
      <c r="D16" s="373"/>
      <c r="E16" s="357"/>
      <c r="F16" s="7"/>
      <c r="G16" s="7"/>
    </row>
    <row r="17" spans="1:7" x14ac:dyDescent="0.3">
      <c r="A17" s="7"/>
      <c r="B17" s="50"/>
      <c r="C17" s="107"/>
      <c r="D17" s="15"/>
      <c r="E17" s="15"/>
      <c r="F17" s="7"/>
      <c r="G17" s="7"/>
    </row>
    <row r="18" spans="1:7" x14ac:dyDescent="0.3">
      <c r="A18" s="7"/>
      <c r="B18" s="50">
        <v>4</v>
      </c>
      <c r="C18" s="360" t="s">
        <v>5</v>
      </c>
      <c r="D18" s="360"/>
      <c r="E18" s="360"/>
      <c r="F18" s="7"/>
      <c r="G18" s="7"/>
    </row>
    <row r="19" spans="1:7" x14ac:dyDescent="0.3">
      <c r="A19" s="7"/>
      <c r="B19" s="7"/>
      <c r="C19" s="120" t="s">
        <v>6</v>
      </c>
      <c r="D19" s="52">
        <f>'2 Signal Replace'!D27</f>
        <v>0</v>
      </c>
      <c r="E19" s="15"/>
      <c r="F19" s="7"/>
      <c r="G19" s="7"/>
    </row>
    <row r="20" spans="1:7" ht="28.8" x14ac:dyDescent="0.3">
      <c r="A20" s="7"/>
      <c r="B20" s="7"/>
      <c r="C20" s="39" t="s">
        <v>9</v>
      </c>
      <c r="D20" s="52">
        <f>'2 Signal Replace'!D28</f>
        <v>0</v>
      </c>
      <c r="E20" s="15"/>
      <c r="F20" s="7"/>
      <c r="G20" s="7"/>
    </row>
    <row r="21" spans="1:7" x14ac:dyDescent="0.3">
      <c r="A21" s="7"/>
      <c r="B21" s="7"/>
      <c r="C21" s="120" t="s">
        <v>7</v>
      </c>
      <c r="D21" s="52">
        <f>'2 Signal Replace'!D29</f>
        <v>0</v>
      </c>
      <c r="E21" s="15"/>
      <c r="F21" s="7"/>
      <c r="G21" s="7"/>
    </row>
    <row r="22" spans="1:7" x14ac:dyDescent="0.3">
      <c r="A22" s="7"/>
      <c r="B22" s="7"/>
      <c r="C22" s="120" t="s">
        <v>20</v>
      </c>
      <c r="D22" s="52">
        <f>D20</f>
        <v>0</v>
      </c>
      <c r="E22" s="15"/>
      <c r="F22" s="7"/>
      <c r="G22" s="7"/>
    </row>
    <row r="23" spans="1:7" x14ac:dyDescent="0.3">
      <c r="A23" s="7"/>
      <c r="B23" s="7"/>
      <c r="C23" s="7"/>
      <c r="D23" s="7"/>
      <c r="E23" s="7"/>
      <c r="F23" s="7"/>
      <c r="G23" s="7"/>
    </row>
    <row r="24" spans="1:7" x14ac:dyDescent="0.3">
      <c r="A24" s="7"/>
      <c r="B24" s="7"/>
      <c r="C24" s="7"/>
      <c r="D24" s="7"/>
      <c r="E24" s="7"/>
      <c r="F24" s="7"/>
      <c r="G24" s="7"/>
    </row>
    <row r="25" spans="1:7" x14ac:dyDescent="0.3">
      <c r="A25" s="7"/>
      <c r="B25" s="55" t="s">
        <v>8</v>
      </c>
      <c r="C25" s="82"/>
      <c r="D25" s="82"/>
      <c r="E25" s="82"/>
      <c r="F25" s="100"/>
      <c r="G25" s="7"/>
    </row>
    <row r="26" spans="1:7" x14ac:dyDescent="0.3">
      <c r="A26" s="7"/>
      <c r="B26" s="58"/>
      <c r="C26" s="7"/>
      <c r="D26" s="7"/>
      <c r="E26" s="7"/>
      <c r="F26" s="75"/>
      <c r="G26" s="7"/>
    </row>
    <row r="27" spans="1:7" ht="31.5" customHeight="1" x14ac:dyDescent="0.3">
      <c r="A27" s="7"/>
      <c r="B27" s="56" t="s">
        <v>13</v>
      </c>
      <c r="C27" s="317" t="s">
        <v>234</v>
      </c>
      <c r="D27" s="317"/>
      <c r="E27" s="317"/>
      <c r="F27" s="75"/>
      <c r="G27" s="7"/>
    </row>
    <row r="28" spans="1:7" x14ac:dyDescent="0.3">
      <c r="A28" s="7"/>
      <c r="B28" s="57"/>
      <c r="C28" s="15"/>
      <c r="D28" s="356">
        <f>'2 Signal Replace'!D35:E35</f>
        <v>0</v>
      </c>
      <c r="E28" s="357"/>
      <c r="F28" s="75"/>
      <c r="G28" s="7"/>
    </row>
    <row r="29" spans="1:7" x14ac:dyDescent="0.3">
      <c r="A29" s="7"/>
      <c r="B29" s="56" t="s">
        <v>47</v>
      </c>
      <c r="C29" s="360" t="s">
        <v>80</v>
      </c>
      <c r="D29" s="360"/>
      <c r="E29" s="360"/>
      <c r="F29" s="75"/>
      <c r="G29" s="7"/>
    </row>
    <row r="30" spans="1:7" x14ac:dyDescent="0.3">
      <c r="A30" s="7"/>
      <c r="B30" s="56"/>
      <c r="C30" s="107"/>
      <c r="D30" s="17">
        <f>'2 Signal Replace'!D37</f>
        <v>0</v>
      </c>
      <c r="E30" s="15" t="s">
        <v>81</v>
      </c>
      <c r="F30" s="75"/>
      <c r="G30" s="7"/>
    </row>
    <row r="31" spans="1:7" x14ac:dyDescent="0.3">
      <c r="A31" s="7"/>
      <c r="B31" s="56"/>
      <c r="C31" s="208"/>
      <c r="D31" s="17">
        <f>'2 Signal Replace'!D38</f>
        <v>0</v>
      </c>
      <c r="E31" s="15" t="s">
        <v>86</v>
      </c>
      <c r="F31" s="75"/>
      <c r="G31" s="7"/>
    </row>
    <row r="32" spans="1:7" x14ac:dyDescent="0.3">
      <c r="A32" s="7"/>
      <c r="B32" s="56"/>
      <c r="C32" s="107"/>
      <c r="D32" s="17">
        <f>'2 Signal Replace'!D39</f>
        <v>0</v>
      </c>
      <c r="E32" s="15" t="s">
        <v>85</v>
      </c>
      <c r="F32" s="75"/>
      <c r="G32" s="7"/>
    </row>
    <row r="33" spans="1:7" x14ac:dyDescent="0.3">
      <c r="A33" s="7"/>
      <c r="B33" s="56"/>
      <c r="C33" s="208"/>
      <c r="D33" s="17">
        <f>'2 Signal Replace'!D40</f>
        <v>0</v>
      </c>
      <c r="E33" s="15" t="s">
        <v>87</v>
      </c>
      <c r="F33" s="75"/>
      <c r="G33" s="7"/>
    </row>
    <row r="34" spans="1:7" x14ac:dyDescent="0.3">
      <c r="A34" s="7"/>
      <c r="B34" s="56"/>
      <c r="C34" s="107"/>
      <c r="D34" s="17">
        <f>'2 Signal Replace'!D41</f>
        <v>0</v>
      </c>
      <c r="E34" s="15" t="s">
        <v>83</v>
      </c>
      <c r="F34" s="75"/>
      <c r="G34" s="7"/>
    </row>
    <row r="35" spans="1:7" x14ac:dyDescent="0.3">
      <c r="A35" s="7"/>
      <c r="B35" s="57"/>
      <c r="C35" s="15"/>
      <c r="D35" s="16"/>
      <c r="E35" s="15"/>
      <c r="F35" s="75"/>
      <c r="G35" s="7"/>
    </row>
    <row r="36" spans="1:7" x14ac:dyDescent="0.3">
      <c r="A36" s="7"/>
      <c r="B36" s="56" t="s">
        <v>76</v>
      </c>
      <c r="C36" s="352" t="s">
        <v>89</v>
      </c>
      <c r="D36" s="352"/>
      <c r="E36" s="352"/>
      <c r="F36" s="75"/>
      <c r="G36" s="7"/>
    </row>
    <row r="37" spans="1:7" x14ac:dyDescent="0.3">
      <c r="A37" s="7"/>
      <c r="B37" s="57"/>
      <c r="C37" s="15"/>
      <c r="D37" s="17">
        <f>'2 Signal Replace'!D44</f>
        <v>0</v>
      </c>
      <c r="E37" s="7" t="s">
        <v>90</v>
      </c>
      <c r="F37" s="75"/>
      <c r="G37" s="7"/>
    </row>
    <row r="38" spans="1:7" x14ac:dyDescent="0.3">
      <c r="A38" s="7"/>
      <c r="B38" s="57"/>
      <c r="C38" s="15"/>
      <c r="D38" s="15"/>
      <c r="E38" s="15"/>
      <c r="F38" s="75"/>
      <c r="G38" s="7"/>
    </row>
    <row r="39" spans="1:7" ht="27.75" customHeight="1" x14ac:dyDescent="0.3">
      <c r="A39" s="7"/>
      <c r="B39" s="56" t="s">
        <v>93</v>
      </c>
      <c r="C39" s="360" t="s">
        <v>88</v>
      </c>
      <c r="D39" s="360"/>
      <c r="E39" s="360"/>
      <c r="F39" s="75"/>
      <c r="G39" s="7"/>
    </row>
    <row r="40" spans="1:7" x14ac:dyDescent="0.3">
      <c r="A40" s="7"/>
      <c r="B40" s="57"/>
      <c r="C40" s="15"/>
      <c r="D40" s="134">
        <f>PARAMETERS!E8</f>
        <v>1513782</v>
      </c>
      <c r="E40" s="15" t="s">
        <v>81</v>
      </c>
      <c r="F40" s="75"/>
      <c r="G40" s="7"/>
    </row>
    <row r="41" spans="1:7" x14ac:dyDescent="0.3">
      <c r="A41" s="7"/>
      <c r="B41" s="57"/>
      <c r="C41" s="15"/>
      <c r="D41" s="134">
        <f>PARAMETERS!E9</f>
        <v>74284.56</v>
      </c>
      <c r="E41" s="15" t="s">
        <v>86</v>
      </c>
      <c r="F41" s="75"/>
      <c r="G41" s="7"/>
    </row>
    <row r="42" spans="1:7" x14ac:dyDescent="0.3">
      <c r="A42" s="7"/>
      <c r="B42" s="57"/>
      <c r="C42" s="15"/>
      <c r="D42" s="134">
        <f>PARAMETERS!E10</f>
        <v>23929.200000000001</v>
      </c>
      <c r="E42" s="15" t="s">
        <v>85</v>
      </c>
      <c r="F42" s="75"/>
      <c r="G42" s="7"/>
    </row>
    <row r="43" spans="1:7" x14ac:dyDescent="0.3">
      <c r="A43" s="7"/>
      <c r="B43" s="57"/>
      <c r="C43" s="15"/>
      <c r="D43" s="134">
        <f>PARAMETERS!E11</f>
        <v>13525.2</v>
      </c>
      <c r="E43" s="15" t="s">
        <v>87</v>
      </c>
      <c r="F43" s="75"/>
      <c r="G43" s="7"/>
    </row>
    <row r="44" spans="1:7" x14ac:dyDescent="0.3">
      <c r="A44" s="7"/>
      <c r="B44" s="57"/>
      <c r="C44" s="15"/>
      <c r="D44" s="134">
        <f>PARAMETERS!E12</f>
        <v>9571.68</v>
      </c>
      <c r="E44" s="15" t="s">
        <v>83</v>
      </c>
      <c r="F44" s="75"/>
      <c r="G44" s="7"/>
    </row>
    <row r="45" spans="1:7" x14ac:dyDescent="0.3">
      <c r="A45" s="7"/>
      <c r="B45" s="57"/>
      <c r="C45" s="15"/>
      <c r="D45" s="15"/>
      <c r="E45" s="15"/>
      <c r="F45" s="75"/>
      <c r="G45" s="7"/>
    </row>
    <row r="46" spans="1:7" x14ac:dyDescent="0.3">
      <c r="A46" s="7"/>
      <c r="B46" s="56" t="s">
        <v>94</v>
      </c>
      <c r="C46" s="361" t="s">
        <v>91</v>
      </c>
      <c r="D46" s="361"/>
      <c r="E46" s="361"/>
      <c r="F46" s="75"/>
      <c r="G46" s="7"/>
    </row>
    <row r="47" spans="1:7" x14ac:dyDescent="0.3">
      <c r="A47" s="7"/>
      <c r="B47" s="57"/>
      <c r="C47" s="15"/>
      <c r="D47" s="135">
        <f>PARAMETERS!E13</f>
        <v>0.96</v>
      </c>
      <c r="E47" s="15" t="s">
        <v>79</v>
      </c>
      <c r="F47" s="75"/>
      <c r="G47" s="7"/>
    </row>
    <row r="48" spans="1:7" x14ac:dyDescent="0.3">
      <c r="A48" s="7"/>
      <c r="B48" s="57"/>
      <c r="C48" s="15"/>
      <c r="D48" s="135">
        <f>PARAMETERS!E14</f>
        <v>1.05</v>
      </c>
      <c r="E48" s="15" t="s">
        <v>78</v>
      </c>
      <c r="F48" s="75"/>
      <c r="G48" s="7"/>
    </row>
    <row r="49" spans="1:7" x14ac:dyDescent="0.3">
      <c r="A49" s="7"/>
      <c r="B49" s="57"/>
      <c r="C49" s="15"/>
      <c r="D49" s="15"/>
      <c r="E49" s="15"/>
      <c r="F49" s="75"/>
      <c r="G49" s="7"/>
    </row>
    <row r="50" spans="1:7" x14ac:dyDescent="0.3">
      <c r="A50" s="7"/>
      <c r="B50" s="56" t="s">
        <v>95</v>
      </c>
      <c r="C50" s="361" t="s">
        <v>122</v>
      </c>
      <c r="D50" s="361"/>
      <c r="E50" s="361"/>
      <c r="F50" s="75"/>
      <c r="G50" s="7"/>
    </row>
    <row r="51" spans="1:7" x14ac:dyDescent="0.3">
      <c r="A51" s="7"/>
      <c r="B51" s="57"/>
      <c r="C51" s="15"/>
      <c r="D51" s="136" t="e">
        <f>(IF($D$28="Rural", $D$47,$D$48))*$D$37*(D30/SUM($D$30:$D$34))</f>
        <v>#DIV/0!</v>
      </c>
      <c r="E51" s="15" t="s">
        <v>81</v>
      </c>
      <c r="F51" s="75"/>
      <c r="G51" s="7"/>
    </row>
    <row r="52" spans="1:7" x14ac:dyDescent="0.3">
      <c r="A52" s="7"/>
      <c r="B52" s="57"/>
      <c r="C52" s="15"/>
      <c r="D52" s="136" t="e">
        <f t="shared" ref="D52:D55" si="0">(IF($D$28="Rural", $D$47,$D$48))*$D$37*(D31/SUM($D$30:$D$34))</f>
        <v>#DIV/0!</v>
      </c>
      <c r="E52" s="15" t="s">
        <v>86</v>
      </c>
      <c r="F52" s="75"/>
      <c r="G52" s="7"/>
    </row>
    <row r="53" spans="1:7" x14ac:dyDescent="0.3">
      <c r="A53" s="7"/>
      <c r="B53" s="57"/>
      <c r="C53" s="15"/>
      <c r="D53" s="136" t="e">
        <f t="shared" si="0"/>
        <v>#DIV/0!</v>
      </c>
      <c r="E53" s="15" t="s">
        <v>85</v>
      </c>
      <c r="F53" s="75"/>
      <c r="G53" s="7"/>
    </row>
    <row r="54" spans="1:7" x14ac:dyDescent="0.3">
      <c r="A54" s="7"/>
      <c r="B54" s="57"/>
      <c r="C54" s="15"/>
      <c r="D54" s="136" t="e">
        <f t="shared" si="0"/>
        <v>#DIV/0!</v>
      </c>
      <c r="E54" s="15" t="s">
        <v>87</v>
      </c>
      <c r="F54" s="75"/>
      <c r="G54" s="7"/>
    </row>
    <row r="55" spans="1:7" x14ac:dyDescent="0.3">
      <c r="A55" s="7"/>
      <c r="B55" s="57"/>
      <c r="C55" s="15"/>
      <c r="D55" s="136" t="e">
        <f t="shared" si="0"/>
        <v>#DIV/0!</v>
      </c>
      <c r="E55" s="15" t="s">
        <v>83</v>
      </c>
      <c r="F55" s="75"/>
      <c r="G55" s="7"/>
    </row>
    <row r="56" spans="1:7" x14ac:dyDescent="0.3">
      <c r="A56" s="7"/>
      <c r="B56" s="57"/>
      <c r="C56" s="15"/>
      <c r="D56" s="137"/>
      <c r="E56" s="15"/>
      <c r="F56" s="75"/>
      <c r="G56" s="7"/>
    </row>
    <row r="57" spans="1:7" x14ac:dyDescent="0.3">
      <c r="A57" s="7"/>
      <c r="B57" s="56" t="s">
        <v>96</v>
      </c>
      <c r="C57" s="361" t="s">
        <v>92</v>
      </c>
      <c r="D57" s="361"/>
      <c r="E57" s="361"/>
      <c r="F57" s="75"/>
      <c r="G57" s="7"/>
    </row>
    <row r="58" spans="1:7" x14ac:dyDescent="0.3">
      <c r="A58" s="7"/>
      <c r="B58" s="57"/>
      <c r="C58" s="15"/>
      <c r="D58" s="138" t="e">
        <f>(D30-D51)*D40</f>
        <v>#DIV/0!</v>
      </c>
      <c r="E58" s="15" t="s">
        <v>81</v>
      </c>
      <c r="F58" s="75"/>
      <c r="G58" s="7"/>
    </row>
    <row r="59" spans="1:7" x14ac:dyDescent="0.3">
      <c r="A59" s="7"/>
      <c r="B59" s="57"/>
      <c r="C59" s="15"/>
      <c r="D59" s="138" t="e">
        <f t="shared" ref="D59:D62" si="1">(D31-D52)*D41</f>
        <v>#DIV/0!</v>
      </c>
      <c r="E59" s="15" t="s">
        <v>86</v>
      </c>
      <c r="F59" s="75"/>
      <c r="G59" s="7"/>
    </row>
    <row r="60" spans="1:7" x14ac:dyDescent="0.3">
      <c r="A60" s="7"/>
      <c r="B60" s="57"/>
      <c r="C60" s="15"/>
      <c r="D60" s="138" t="e">
        <f t="shared" si="1"/>
        <v>#DIV/0!</v>
      </c>
      <c r="E60" s="15" t="s">
        <v>85</v>
      </c>
      <c r="F60" s="75"/>
      <c r="G60" s="7"/>
    </row>
    <row r="61" spans="1:7" x14ac:dyDescent="0.3">
      <c r="A61" s="7"/>
      <c r="B61" s="57"/>
      <c r="C61" s="15"/>
      <c r="D61" s="138" t="e">
        <f t="shared" si="1"/>
        <v>#DIV/0!</v>
      </c>
      <c r="E61" s="15" t="s">
        <v>87</v>
      </c>
      <c r="F61" s="75"/>
      <c r="G61" s="7"/>
    </row>
    <row r="62" spans="1:7" x14ac:dyDescent="0.3">
      <c r="A62" s="7"/>
      <c r="B62" s="57"/>
      <c r="C62" s="15"/>
      <c r="D62" s="138" t="e">
        <f t="shared" si="1"/>
        <v>#DIV/0!</v>
      </c>
      <c r="E62" s="15" t="s">
        <v>83</v>
      </c>
      <c r="F62" s="75"/>
      <c r="G62" s="7"/>
    </row>
    <row r="63" spans="1:7" ht="15" thickBot="1" x14ac:dyDescent="0.35">
      <c r="A63" s="7"/>
      <c r="B63" s="57"/>
      <c r="C63" s="15"/>
      <c r="D63" s="15"/>
      <c r="E63" s="15"/>
      <c r="F63" s="75"/>
      <c r="G63" s="7"/>
    </row>
    <row r="64" spans="1:7" ht="15.6" thickTop="1" thickBot="1" x14ac:dyDescent="0.35">
      <c r="A64" s="7"/>
      <c r="B64" s="57"/>
      <c r="C64" s="15"/>
      <c r="D64" s="140" t="s">
        <v>98</v>
      </c>
      <c r="E64" s="141" t="e">
        <f>IF(AND(SUM(D58:D62)&gt;0,D19="YES"),ROUND(SUM(D58:D62),-3),0)</f>
        <v>#DIV/0!</v>
      </c>
      <c r="F64" s="75"/>
      <c r="G64" s="7"/>
    </row>
    <row r="65" spans="1:15" ht="15" thickTop="1" x14ac:dyDescent="0.3">
      <c r="A65" s="7"/>
      <c r="B65" s="60"/>
      <c r="C65" s="132"/>
      <c r="D65" s="132"/>
      <c r="E65" s="132"/>
      <c r="F65" s="99"/>
      <c r="G65" s="7"/>
    </row>
    <row r="66" spans="1:15" x14ac:dyDescent="0.3">
      <c r="A66" s="7"/>
      <c r="B66" s="7"/>
      <c r="C66" s="7"/>
      <c r="D66" s="7"/>
      <c r="E66" s="7"/>
      <c r="F66" s="7"/>
      <c r="G66" s="7"/>
    </row>
    <row r="67" spans="1:15" x14ac:dyDescent="0.3">
      <c r="A67" s="7"/>
      <c r="B67" s="55" t="s">
        <v>14</v>
      </c>
      <c r="C67" s="82"/>
      <c r="D67" s="82"/>
      <c r="E67" s="82"/>
      <c r="F67" s="100"/>
      <c r="G67" s="7"/>
    </row>
    <row r="68" spans="1:15" x14ac:dyDescent="0.3">
      <c r="A68" s="7"/>
      <c r="B68" s="58"/>
      <c r="C68" s="7"/>
      <c r="D68" s="7"/>
      <c r="E68" s="7"/>
      <c r="F68" s="75"/>
      <c r="G68" s="7"/>
    </row>
    <row r="69" spans="1:15" ht="33.6" customHeight="1" x14ac:dyDescent="0.3">
      <c r="A69" s="7"/>
      <c r="B69" s="56" t="s">
        <v>342</v>
      </c>
      <c r="C69" s="317" t="s">
        <v>445</v>
      </c>
      <c r="D69" s="317"/>
      <c r="E69" s="317"/>
      <c r="F69" s="75"/>
      <c r="G69" s="7"/>
    </row>
    <row r="70" spans="1:15" x14ac:dyDescent="0.3">
      <c r="A70" s="7"/>
      <c r="B70" s="57"/>
      <c r="C70" s="7"/>
      <c r="D70" s="105">
        <f>'2 Signal Replace'!D52</f>
        <v>0</v>
      </c>
      <c r="E70" s="7" t="s">
        <v>404</v>
      </c>
      <c r="F70" s="75"/>
      <c r="G70" s="7"/>
    </row>
    <row r="71" spans="1:15" x14ac:dyDescent="0.3">
      <c r="A71" s="7"/>
      <c r="B71" s="57"/>
      <c r="C71" s="7"/>
      <c r="D71" s="7"/>
      <c r="E71" s="7"/>
      <c r="F71" s="75"/>
      <c r="G71" s="7"/>
      <c r="H71" s="198"/>
    </row>
    <row r="72" spans="1:15" ht="30" customHeight="1" x14ac:dyDescent="0.3">
      <c r="A72" s="7"/>
      <c r="B72" s="57" t="s">
        <v>343</v>
      </c>
      <c r="C72" s="317" t="s">
        <v>444</v>
      </c>
      <c r="D72" s="317"/>
      <c r="E72" s="317"/>
      <c r="F72" s="75"/>
      <c r="G72" s="7"/>
      <c r="H72" s="198"/>
    </row>
    <row r="73" spans="1:15" x14ac:dyDescent="0.3">
      <c r="A73" s="7"/>
      <c r="B73" s="57"/>
      <c r="C73" s="7"/>
      <c r="D73" s="123">
        <f>'2 Signal Replace'!D55</f>
        <v>0</v>
      </c>
      <c r="E73" s="7"/>
      <c r="F73" s="75"/>
      <c r="G73" s="7"/>
    </row>
    <row r="74" spans="1:15" x14ac:dyDescent="0.3">
      <c r="A74" s="7"/>
      <c r="B74" s="57"/>
      <c r="C74" s="7"/>
      <c r="D74" s="7"/>
      <c r="E74" s="7"/>
      <c r="F74" s="75"/>
      <c r="G74" s="7"/>
    </row>
    <row r="75" spans="1:15" x14ac:dyDescent="0.3">
      <c r="A75" s="7"/>
      <c r="B75" s="57" t="s">
        <v>344</v>
      </c>
      <c r="C75" s="7" t="s">
        <v>480</v>
      </c>
      <c r="D75" s="145">
        <f>IFERROR(VLOOKUP(D73,'drop-downs'!$AR$2:$AS$5,2,0),0)</f>
        <v>0</v>
      </c>
      <c r="E75" s="7" t="s">
        <v>414</v>
      </c>
      <c r="F75" s="75"/>
      <c r="G75" s="7"/>
      <c r="H75" s="42"/>
      <c r="I75" s="42"/>
      <c r="J75" s="42"/>
      <c r="K75" s="42"/>
      <c r="L75" s="42"/>
      <c r="M75" s="42"/>
      <c r="N75" s="42"/>
      <c r="O75" s="42"/>
    </row>
    <row r="76" spans="1:15" x14ac:dyDescent="0.3">
      <c r="A76" s="7"/>
      <c r="B76" s="57"/>
      <c r="C76" s="7"/>
      <c r="D76" s="144"/>
      <c r="E76" s="7"/>
      <c r="F76" s="75"/>
      <c r="G76" s="7"/>
      <c r="H76" s="42"/>
      <c r="I76" s="42"/>
      <c r="J76" s="42"/>
      <c r="K76" s="42"/>
      <c r="L76" s="42"/>
      <c r="M76" s="42"/>
      <c r="N76" s="42"/>
      <c r="O76" s="42"/>
    </row>
    <row r="77" spans="1:15" x14ac:dyDescent="0.3">
      <c r="A77" s="7"/>
      <c r="B77" s="56" t="s">
        <v>345</v>
      </c>
      <c r="C77" s="7" t="s">
        <v>448</v>
      </c>
      <c r="D77" s="146">
        <f>PARAMETERS!J11</f>
        <v>27.2</v>
      </c>
      <c r="E77" s="7" t="s">
        <v>207</v>
      </c>
      <c r="F77" s="75"/>
      <c r="G77" s="7"/>
      <c r="H77" s="42"/>
      <c r="I77" s="42"/>
      <c r="J77" s="42"/>
      <c r="K77" s="42"/>
      <c r="L77" s="42"/>
      <c r="M77" s="42"/>
      <c r="N77" s="42"/>
      <c r="O77" s="42"/>
    </row>
    <row r="78" spans="1:15" x14ac:dyDescent="0.3">
      <c r="A78" s="7"/>
      <c r="B78" s="57"/>
      <c r="C78" s="7"/>
      <c r="D78" s="124"/>
      <c r="F78" s="75"/>
      <c r="G78" s="7"/>
      <c r="H78" s="42"/>
      <c r="I78" s="42"/>
      <c r="J78" s="42"/>
      <c r="K78" s="42"/>
      <c r="L78" s="42"/>
      <c r="M78" s="42"/>
      <c r="N78" s="42"/>
      <c r="O78" s="42"/>
    </row>
    <row r="79" spans="1:15" x14ac:dyDescent="0.3">
      <c r="A79" s="7"/>
      <c r="B79" s="57" t="s">
        <v>346</v>
      </c>
      <c r="C79" s="7" t="s">
        <v>411</v>
      </c>
      <c r="D79" s="145">
        <f>D75-D77/100*D75</f>
        <v>0</v>
      </c>
      <c r="E79" s="7" t="s">
        <v>414</v>
      </c>
      <c r="F79" s="75"/>
      <c r="G79" s="7"/>
      <c r="H79" s="42"/>
      <c r="I79" s="42"/>
      <c r="J79" s="42"/>
      <c r="K79" s="42"/>
      <c r="L79" s="42"/>
      <c r="M79" s="42"/>
      <c r="N79" s="42"/>
      <c r="O79" s="42"/>
    </row>
    <row r="80" spans="1:15" x14ac:dyDescent="0.3">
      <c r="A80" s="7"/>
      <c r="B80" s="57"/>
      <c r="C80" s="7"/>
      <c r="D80" s="144"/>
      <c r="E80" s="7"/>
      <c r="F80" s="75"/>
      <c r="G80" s="7"/>
      <c r="H80" s="42"/>
      <c r="I80" s="42"/>
      <c r="J80" s="42"/>
      <c r="K80" s="42"/>
      <c r="L80" s="42"/>
      <c r="M80" s="42"/>
      <c r="N80" s="42"/>
      <c r="O80" s="42"/>
    </row>
    <row r="81" spans="1:15" x14ac:dyDescent="0.3">
      <c r="A81" s="7"/>
      <c r="B81" s="57" t="s">
        <v>347</v>
      </c>
      <c r="C81" s="7" t="s">
        <v>410</v>
      </c>
      <c r="D81" s="145">
        <f>D75-D79</f>
        <v>0</v>
      </c>
      <c r="E81" s="7" t="s">
        <v>414</v>
      </c>
      <c r="F81" s="75"/>
      <c r="G81" s="7"/>
      <c r="H81" s="42"/>
      <c r="I81" s="42"/>
      <c r="J81" s="42"/>
      <c r="K81" s="42"/>
      <c r="L81" s="42"/>
      <c r="M81" s="42"/>
      <c r="N81" s="42"/>
      <c r="O81" s="42"/>
    </row>
    <row r="82" spans="1:15" x14ac:dyDescent="0.3">
      <c r="A82" s="7"/>
      <c r="B82" s="57"/>
      <c r="C82" s="7"/>
      <c r="D82" s="144"/>
      <c r="E82" s="7"/>
      <c r="F82" s="75"/>
      <c r="G82" s="7"/>
      <c r="H82" s="42"/>
      <c r="I82" s="42"/>
      <c r="J82" s="42"/>
      <c r="K82" s="42"/>
      <c r="L82" s="42"/>
      <c r="M82" s="42"/>
      <c r="N82" s="42"/>
      <c r="O82" s="42"/>
    </row>
    <row r="83" spans="1:15" x14ac:dyDescent="0.3">
      <c r="A83" s="7"/>
      <c r="B83" s="57" t="s">
        <v>406</v>
      </c>
      <c r="C83" s="7" t="s">
        <v>407</v>
      </c>
      <c r="D83" s="145">
        <f>0.1*D70</f>
        <v>0</v>
      </c>
      <c r="E83" s="7" t="s">
        <v>404</v>
      </c>
      <c r="F83" s="75"/>
      <c r="G83" s="7"/>
    </row>
    <row r="84" spans="1:15" x14ac:dyDescent="0.3">
      <c r="A84" s="7"/>
      <c r="B84" s="57"/>
      <c r="C84" s="129" t="s">
        <v>408</v>
      </c>
      <c r="D84" s="144"/>
      <c r="E84" s="7"/>
      <c r="F84" s="75"/>
      <c r="G84" s="7"/>
    </row>
    <row r="85" spans="1:15" x14ac:dyDescent="0.3">
      <c r="A85" s="7"/>
      <c r="B85" s="57"/>
      <c r="C85" s="7"/>
      <c r="D85" s="144"/>
      <c r="E85" s="7"/>
      <c r="F85" s="75"/>
      <c r="G85" s="7"/>
    </row>
    <row r="86" spans="1:15" x14ac:dyDescent="0.3">
      <c r="A86" s="7"/>
      <c r="B86" s="56" t="s">
        <v>99</v>
      </c>
      <c r="C86" s="7" t="s">
        <v>102</v>
      </c>
      <c r="D86" s="135">
        <f>PARAMETERS!J8</f>
        <v>1.59</v>
      </c>
      <c r="E86" s="7" t="s">
        <v>103</v>
      </c>
      <c r="F86" s="75"/>
      <c r="G86" s="7"/>
    </row>
    <row r="87" spans="1:15" x14ac:dyDescent="0.3">
      <c r="A87" s="7"/>
      <c r="B87" s="57"/>
      <c r="C87" s="7"/>
      <c r="D87" s="7"/>
      <c r="E87" s="7"/>
      <c r="F87" s="75"/>
      <c r="G87" s="7"/>
    </row>
    <row r="88" spans="1:15" ht="30" customHeight="1" x14ac:dyDescent="0.3">
      <c r="A88" s="7"/>
      <c r="B88" s="56" t="s">
        <v>104</v>
      </c>
      <c r="C88" s="317" t="s">
        <v>446</v>
      </c>
      <c r="D88" s="317"/>
      <c r="E88" s="317"/>
      <c r="F88" s="75"/>
      <c r="G88" s="7"/>
    </row>
    <row r="89" spans="1:15" x14ac:dyDescent="0.3">
      <c r="A89" s="7"/>
      <c r="B89" s="57"/>
      <c r="C89" s="7"/>
      <c r="D89" s="147">
        <f>D81*D83*52*5/(60*60)</f>
        <v>0</v>
      </c>
      <c r="E89" s="7" t="s">
        <v>106</v>
      </c>
      <c r="F89" s="75"/>
      <c r="G89" s="7"/>
    </row>
    <row r="90" spans="1:15" x14ac:dyDescent="0.3">
      <c r="A90" s="7"/>
      <c r="B90" s="57"/>
      <c r="C90" s="7"/>
      <c r="D90" s="7"/>
      <c r="E90" s="7"/>
      <c r="F90" s="75"/>
      <c r="G90" s="7"/>
    </row>
    <row r="91" spans="1:15" x14ac:dyDescent="0.3">
      <c r="A91" s="7"/>
      <c r="B91" s="56" t="s">
        <v>107</v>
      </c>
      <c r="C91" s="7" t="s">
        <v>341</v>
      </c>
      <c r="D91" s="148">
        <f>PARAMETERS!J9</f>
        <v>15.25</v>
      </c>
      <c r="E91" s="7" t="s">
        <v>348</v>
      </c>
      <c r="F91" s="75"/>
      <c r="G91" s="7"/>
    </row>
    <row r="92" spans="1:15" ht="15" thickBot="1" x14ac:dyDescent="0.35">
      <c r="A92" s="7"/>
      <c r="B92" s="56"/>
      <c r="C92" s="7"/>
      <c r="D92" s="7"/>
      <c r="E92" s="7"/>
      <c r="F92" s="75"/>
      <c r="G92" s="7"/>
    </row>
    <row r="93" spans="1:15" ht="15.6" thickTop="1" thickBot="1" x14ac:dyDescent="0.35">
      <c r="A93" s="7"/>
      <c r="B93" s="56"/>
      <c r="C93" s="7"/>
      <c r="D93" s="140" t="s">
        <v>109</v>
      </c>
      <c r="E93" s="141">
        <f>IF(D20="YES",ROUND((D91)*D89*D86,-3),0)</f>
        <v>0</v>
      </c>
      <c r="F93" s="75"/>
      <c r="G93" s="7"/>
    </row>
    <row r="94" spans="1:15" ht="15" thickTop="1" x14ac:dyDescent="0.3">
      <c r="A94" s="7"/>
      <c r="B94" s="60"/>
      <c r="C94" s="132"/>
      <c r="D94" s="132"/>
      <c r="E94" s="132"/>
      <c r="F94" s="99"/>
      <c r="G94" s="7"/>
    </row>
    <row r="95" spans="1:15" x14ac:dyDescent="0.3">
      <c r="A95" s="7"/>
      <c r="B95" s="7"/>
      <c r="C95" s="7"/>
      <c r="D95" s="7"/>
      <c r="E95" s="7"/>
      <c r="F95" s="7"/>
      <c r="G95" s="7"/>
    </row>
    <row r="96" spans="1:15" x14ac:dyDescent="0.3">
      <c r="A96" s="7"/>
      <c r="B96" s="55" t="s">
        <v>24</v>
      </c>
      <c r="C96" s="82"/>
      <c r="D96" s="82"/>
      <c r="E96" s="82"/>
      <c r="F96" s="100"/>
      <c r="G96" s="7"/>
    </row>
    <row r="97" spans="1:7" x14ac:dyDescent="0.3">
      <c r="A97" s="7"/>
      <c r="B97" s="58"/>
      <c r="C97" s="7"/>
      <c r="D97" s="7"/>
      <c r="E97" s="7"/>
      <c r="F97" s="75"/>
      <c r="G97" s="7"/>
    </row>
    <row r="98" spans="1:7" ht="30" customHeight="1" x14ac:dyDescent="0.3">
      <c r="A98" s="7"/>
      <c r="B98" s="56" t="s">
        <v>25</v>
      </c>
      <c r="C98" s="317" t="s">
        <v>161</v>
      </c>
      <c r="D98" s="317"/>
      <c r="E98" s="317"/>
      <c r="F98" s="75"/>
      <c r="G98" s="7"/>
    </row>
    <row r="99" spans="1:7" x14ac:dyDescent="0.3">
      <c r="A99" s="7"/>
      <c r="B99" s="57"/>
      <c r="C99" s="15"/>
      <c r="D99" s="375">
        <f>'2 Signal Replace'!D63:E63</f>
        <v>0</v>
      </c>
      <c r="E99" s="376"/>
      <c r="F99" s="75"/>
      <c r="G99" s="7"/>
    </row>
    <row r="100" spans="1:7" ht="29.25" customHeight="1" x14ac:dyDescent="0.3">
      <c r="A100" s="7"/>
      <c r="B100" s="56" t="s">
        <v>110</v>
      </c>
      <c r="C100" s="360" t="s">
        <v>138</v>
      </c>
      <c r="D100" s="360"/>
      <c r="E100" s="360"/>
      <c r="F100" s="75"/>
      <c r="G100" s="7"/>
    </row>
    <row r="101" spans="1:7" x14ac:dyDescent="0.3">
      <c r="A101" s="7"/>
      <c r="B101" s="57"/>
      <c r="C101" s="15"/>
      <c r="D101" s="31">
        <f>'2 Signal Replace'!D65</f>
        <v>0</v>
      </c>
      <c r="E101" s="15" t="s">
        <v>139</v>
      </c>
      <c r="F101" s="75"/>
      <c r="G101" s="7"/>
    </row>
    <row r="102" spans="1:7" x14ac:dyDescent="0.3">
      <c r="A102" s="7"/>
      <c r="B102" s="56" t="s">
        <v>140</v>
      </c>
      <c r="C102" s="15" t="s">
        <v>141</v>
      </c>
      <c r="D102" s="33">
        <f>'2 Signal Replace'!D66</f>
        <v>0</v>
      </c>
      <c r="E102" s="15"/>
      <c r="F102" s="75"/>
      <c r="G102" s="7"/>
    </row>
    <row r="103" spans="1:7" x14ac:dyDescent="0.3">
      <c r="A103" s="7"/>
      <c r="B103" s="56"/>
      <c r="C103" s="15"/>
      <c r="D103" s="144"/>
      <c r="E103" s="15"/>
      <c r="F103" s="75"/>
      <c r="G103" s="7"/>
    </row>
    <row r="104" spans="1:7" x14ac:dyDescent="0.3">
      <c r="A104" s="7"/>
      <c r="B104" s="56" t="s">
        <v>142</v>
      </c>
      <c r="C104" s="360" t="s">
        <v>147</v>
      </c>
      <c r="D104" s="360"/>
      <c r="E104" s="360"/>
      <c r="F104" s="75"/>
      <c r="G104" s="7"/>
    </row>
    <row r="105" spans="1:7" ht="28.8" x14ac:dyDescent="0.3">
      <c r="A105" s="7"/>
      <c r="B105" s="56"/>
      <c r="C105" s="38"/>
      <c r="D105" s="34" t="s">
        <v>145</v>
      </c>
      <c r="E105" s="113" t="s">
        <v>254</v>
      </c>
      <c r="F105" s="75"/>
      <c r="G105" s="7"/>
    </row>
    <row r="106" spans="1:7" x14ac:dyDescent="0.3">
      <c r="A106" s="7"/>
      <c r="B106" s="56"/>
      <c r="C106" s="20" t="s">
        <v>27</v>
      </c>
      <c r="D106" s="62">
        <f>D115*3</f>
        <v>633</v>
      </c>
      <c r="E106" s="63">
        <f>E115</f>
        <v>1253.49</v>
      </c>
      <c r="F106" s="75"/>
      <c r="G106" s="7"/>
    </row>
    <row r="107" spans="1:7" x14ac:dyDescent="0.3">
      <c r="A107" s="7"/>
      <c r="B107" s="56"/>
      <c r="C107" s="20" t="s">
        <v>28</v>
      </c>
      <c r="D107" s="62">
        <f t="shared" ref="D107:D111" si="2">D116*3</f>
        <v>3144</v>
      </c>
      <c r="E107" s="63">
        <f t="shared" ref="E107:E110" si="3">E116</f>
        <v>316.20999999999998</v>
      </c>
      <c r="F107" s="75"/>
      <c r="G107" s="7"/>
    </row>
    <row r="108" spans="1:7" x14ac:dyDescent="0.3">
      <c r="A108" s="7"/>
      <c r="B108" s="56"/>
      <c r="C108" s="20" t="s">
        <v>29</v>
      </c>
      <c r="D108" s="62">
        <f t="shared" si="2"/>
        <v>654</v>
      </c>
      <c r="E108" s="63">
        <f t="shared" si="3"/>
        <v>482.33</v>
      </c>
      <c r="F108" s="75"/>
      <c r="G108" s="7"/>
    </row>
    <row r="109" spans="1:7" x14ac:dyDescent="0.3">
      <c r="A109" s="7"/>
      <c r="B109" s="56"/>
      <c r="C109" s="20" t="s">
        <v>30</v>
      </c>
      <c r="D109" s="62">
        <f t="shared" si="2"/>
        <v>258</v>
      </c>
      <c r="E109" s="63">
        <f t="shared" si="3"/>
        <v>436.82</v>
      </c>
      <c r="F109" s="75"/>
      <c r="G109" s="7"/>
    </row>
    <row r="110" spans="1:7" x14ac:dyDescent="0.3">
      <c r="A110" s="7"/>
      <c r="B110" s="56"/>
      <c r="C110" s="20" t="s">
        <v>32</v>
      </c>
      <c r="D110" s="62">
        <f t="shared" si="2"/>
        <v>69</v>
      </c>
      <c r="E110" s="63">
        <f t="shared" si="3"/>
        <v>444.35</v>
      </c>
      <c r="F110" s="75"/>
      <c r="G110" s="7"/>
    </row>
    <row r="111" spans="1:7" x14ac:dyDescent="0.3">
      <c r="A111" s="7"/>
      <c r="B111" s="57"/>
      <c r="C111" s="20" t="s">
        <v>31</v>
      </c>
      <c r="D111" s="62">
        <f t="shared" si="2"/>
        <v>312</v>
      </c>
      <c r="E111" s="63">
        <f>E120</f>
        <v>733</v>
      </c>
      <c r="F111" s="75"/>
      <c r="G111" s="7"/>
    </row>
    <row r="112" spans="1:7" x14ac:dyDescent="0.3">
      <c r="A112" s="7"/>
      <c r="B112" s="57"/>
      <c r="C112" s="20"/>
      <c r="D112" s="20"/>
      <c r="E112" s="20"/>
      <c r="F112" s="75"/>
      <c r="G112" s="7"/>
    </row>
    <row r="113" spans="1:8" x14ac:dyDescent="0.3">
      <c r="A113" s="7"/>
      <c r="B113" s="56" t="s">
        <v>146</v>
      </c>
      <c r="C113" s="352" t="s">
        <v>148</v>
      </c>
      <c r="D113" s="352"/>
      <c r="E113" s="352"/>
      <c r="F113" s="75"/>
      <c r="G113" s="7"/>
    </row>
    <row r="114" spans="1:8" ht="43.2" x14ac:dyDescent="0.3">
      <c r="A114" s="7"/>
      <c r="B114" s="56"/>
      <c r="C114" s="38"/>
      <c r="D114" s="34" t="s">
        <v>149</v>
      </c>
      <c r="E114" s="87" t="s">
        <v>256</v>
      </c>
      <c r="F114" s="75"/>
      <c r="G114" s="7"/>
    </row>
    <row r="115" spans="1:8" x14ac:dyDescent="0.3">
      <c r="A115" s="7"/>
      <c r="B115" s="56"/>
      <c r="C115" s="20" t="s">
        <v>27</v>
      </c>
      <c r="D115" s="64">
        <f>VLOOKUP($C115,PARAMETERS!$I$17:$K$22,2,0)</f>
        <v>211</v>
      </c>
      <c r="E115" s="61">
        <f>VLOOKUP($C115,PARAMETERS!$I$17:$K$22,3,0)</f>
        <v>1253.49</v>
      </c>
      <c r="F115" s="75"/>
      <c r="G115" s="7"/>
    </row>
    <row r="116" spans="1:8" x14ac:dyDescent="0.3">
      <c r="A116" s="7"/>
      <c r="B116" s="56"/>
      <c r="C116" s="20" t="s">
        <v>28</v>
      </c>
      <c r="D116" s="64">
        <f>VLOOKUP($C116,PARAMETERS!$I$17:$K$22,2,0)</f>
        <v>1048</v>
      </c>
      <c r="E116" s="61">
        <f>VLOOKUP($C116,PARAMETERS!$I$17:$K$22,3,0)</f>
        <v>316.20999999999998</v>
      </c>
      <c r="F116" s="75"/>
      <c r="G116" s="7"/>
    </row>
    <row r="117" spans="1:8" x14ac:dyDescent="0.3">
      <c r="A117" s="7"/>
      <c r="B117" s="56"/>
      <c r="C117" s="20" t="s">
        <v>29</v>
      </c>
      <c r="D117" s="64">
        <f>VLOOKUP($C117,PARAMETERS!$I$17:$K$22,2,0)</f>
        <v>218</v>
      </c>
      <c r="E117" s="61">
        <f>VLOOKUP($C117,PARAMETERS!$I$17:$K$22,3,0)</f>
        <v>482.33</v>
      </c>
      <c r="F117" s="75"/>
      <c r="G117" s="7"/>
    </row>
    <row r="118" spans="1:8" x14ac:dyDescent="0.3">
      <c r="A118" s="7"/>
      <c r="B118" s="56"/>
      <c r="C118" s="20" t="s">
        <v>30</v>
      </c>
      <c r="D118" s="64">
        <f>VLOOKUP($C118,PARAMETERS!$I$17:$K$22,2,0)</f>
        <v>86</v>
      </c>
      <c r="E118" s="61">
        <f>VLOOKUP($C118,PARAMETERS!$I$17:$K$22,3,0)</f>
        <v>436.82</v>
      </c>
      <c r="F118" s="75"/>
      <c r="G118" s="7"/>
    </row>
    <row r="119" spans="1:8" x14ac:dyDescent="0.3">
      <c r="A119" s="7"/>
      <c r="B119" s="57"/>
      <c r="C119" s="20" t="s">
        <v>32</v>
      </c>
      <c r="D119" s="64">
        <f>VLOOKUP($C119,PARAMETERS!$I$17:$K$22,2,0)</f>
        <v>23</v>
      </c>
      <c r="E119" s="61">
        <f>VLOOKUP($C119,PARAMETERS!$I$17:$K$22,3,0)</f>
        <v>444.35</v>
      </c>
      <c r="F119" s="75"/>
      <c r="G119" s="7"/>
    </row>
    <row r="120" spans="1:8" x14ac:dyDescent="0.3">
      <c r="A120" s="7"/>
      <c r="B120" s="57"/>
      <c r="C120" s="20" t="s">
        <v>31</v>
      </c>
      <c r="D120" s="64">
        <f>VLOOKUP($C120,PARAMETERS!$I$17:$K$22,2,0)</f>
        <v>104</v>
      </c>
      <c r="E120" s="61">
        <f>VLOOKUP($C120,PARAMETERS!$I$17:$K$22,3,0)</f>
        <v>733</v>
      </c>
      <c r="F120" s="75"/>
      <c r="G120" s="7"/>
    </row>
    <row r="121" spans="1:8" x14ac:dyDescent="0.3">
      <c r="A121" s="7"/>
      <c r="B121" s="57"/>
      <c r="C121" s="20"/>
      <c r="D121" s="20"/>
      <c r="E121" s="20"/>
      <c r="F121" s="75"/>
      <c r="G121" s="7"/>
    </row>
    <row r="122" spans="1:8" ht="30" customHeight="1" x14ac:dyDescent="0.3">
      <c r="A122" s="7"/>
      <c r="B122" s="56" t="s">
        <v>150</v>
      </c>
      <c r="C122" s="317" t="s">
        <v>151</v>
      </c>
      <c r="D122" s="317"/>
      <c r="E122" s="317"/>
      <c r="F122" s="75"/>
      <c r="G122" s="7"/>
    </row>
    <row r="123" spans="1:8" x14ac:dyDescent="0.3">
      <c r="A123" s="7"/>
      <c r="B123" s="56"/>
      <c r="C123" s="106"/>
      <c r="D123" s="35" t="str">
        <f>IF(D99="6 months",2*D102,IF(D99="1 year",D102,IF(D99="3 years",D102/3,"-")))</f>
        <v>-</v>
      </c>
      <c r="E123" s="20"/>
      <c r="F123" s="75"/>
      <c r="G123" s="7"/>
    </row>
    <row r="124" spans="1:8" ht="30" customHeight="1" x14ac:dyDescent="0.3">
      <c r="A124" s="7"/>
      <c r="B124" s="56" t="s">
        <v>194</v>
      </c>
      <c r="C124" s="317" t="s">
        <v>152</v>
      </c>
      <c r="D124" s="317"/>
      <c r="E124" s="317"/>
      <c r="F124" s="75"/>
      <c r="G124" s="7"/>
    </row>
    <row r="125" spans="1:8" x14ac:dyDescent="0.3">
      <c r="A125" s="7"/>
      <c r="B125" s="56"/>
      <c r="C125" s="106"/>
      <c r="D125" s="35" t="e">
        <f>VLOOKUP(D5,C115:E120,3,FALSE)*0.25</f>
        <v>#N/A</v>
      </c>
      <c r="E125" s="20"/>
      <c r="F125" s="75"/>
      <c r="G125" s="7"/>
      <c r="H125" s="4" t="s">
        <v>259</v>
      </c>
    </row>
    <row r="126" spans="1:8" ht="15" thickBot="1" x14ac:dyDescent="0.35">
      <c r="A126" s="7"/>
      <c r="B126" s="57"/>
      <c r="C126" s="20"/>
      <c r="D126" s="20"/>
      <c r="E126" s="20"/>
      <c r="F126" s="75"/>
      <c r="G126" s="7"/>
    </row>
    <row r="127" spans="1:8" ht="15.6" thickTop="1" thickBot="1" x14ac:dyDescent="0.35">
      <c r="A127" s="7"/>
      <c r="B127" s="57"/>
      <c r="C127" s="7"/>
      <c r="D127" s="140" t="s">
        <v>133</v>
      </c>
      <c r="E127" s="141">
        <f>IF(D21="YES",IF(D123&gt;D125,D123-D125,0),0)</f>
        <v>0</v>
      </c>
      <c r="F127" s="75"/>
      <c r="G127" s="7"/>
    </row>
    <row r="128" spans="1:8" ht="15" thickTop="1" x14ac:dyDescent="0.3">
      <c r="A128" s="7"/>
      <c r="B128" s="58"/>
      <c r="C128" s="7"/>
      <c r="D128" s="7"/>
      <c r="E128" s="7"/>
      <c r="F128" s="75"/>
      <c r="G128" s="7"/>
    </row>
    <row r="129" spans="1:7" x14ac:dyDescent="0.3">
      <c r="A129" s="7"/>
      <c r="B129" s="175"/>
      <c r="C129" s="82"/>
      <c r="D129" s="82"/>
      <c r="E129" s="82"/>
      <c r="F129" s="82"/>
      <c r="G129" s="7"/>
    </row>
    <row r="130" spans="1:7" x14ac:dyDescent="0.3">
      <c r="A130" s="7"/>
      <c r="B130" s="7"/>
      <c r="C130" s="7"/>
      <c r="D130" s="7"/>
      <c r="E130" s="7"/>
      <c r="F130" s="7"/>
      <c r="G130" s="7"/>
    </row>
    <row r="131" spans="1:7" x14ac:dyDescent="0.3">
      <c r="A131" s="7"/>
      <c r="B131" s="7"/>
      <c r="C131" s="7"/>
      <c r="D131" s="7"/>
      <c r="E131" s="7"/>
      <c r="F131" s="7"/>
      <c r="G131" s="7"/>
    </row>
    <row r="132" spans="1:7" x14ac:dyDescent="0.3">
      <c r="A132" s="7"/>
      <c r="B132" s="55" t="s">
        <v>65</v>
      </c>
      <c r="C132" s="82"/>
      <c r="D132" s="82"/>
      <c r="E132" s="82"/>
      <c r="F132" s="100"/>
      <c r="G132" s="7"/>
    </row>
    <row r="133" spans="1:7" x14ac:dyDescent="0.3">
      <c r="A133" s="7"/>
      <c r="B133" s="58"/>
      <c r="C133" s="7"/>
      <c r="D133" s="7"/>
      <c r="E133" s="7"/>
      <c r="F133" s="75"/>
      <c r="G133" s="7"/>
    </row>
    <row r="134" spans="1:7" ht="29.25" customHeight="1" x14ac:dyDescent="0.3">
      <c r="A134" s="7"/>
      <c r="B134" s="57" t="s">
        <v>49</v>
      </c>
      <c r="C134" s="317" t="s">
        <v>446</v>
      </c>
      <c r="D134" s="317"/>
      <c r="E134" s="317"/>
      <c r="F134" s="75"/>
      <c r="G134" s="7"/>
    </row>
    <row r="135" spans="1:7" x14ac:dyDescent="0.3">
      <c r="A135" s="7"/>
      <c r="B135" s="57"/>
      <c r="C135" s="7"/>
      <c r="D135" s="147">
        <f>D89</f>
        <v>0</v>
      </c>
      <c r="E135" s="7" t="s">
        <v>106</v>
      </c>
      <c r="F135" s="75"/>
      <c r="G135" s="7"/>
    </row>
    <row r="136" spans="1:7" x14ac:dyDescent="0.3">
      <c r="A136" s="7"/>
      <c r="B136" s="57"/>
      <c r="C136" s="7"/>
      <c r="D136" s="7"/>
      <c r="E136" s="7"/>
      <c r="F136" s="75"/>
      <c r="G136" s="7"/>
    </row>
    <row r="137" spans="1:7" ht="49.5" customHeight="1" x14ac:dyDescent="0.3">
      <c r="A137" s="7"/>
      <c r="B137" s="57" t="s">
        <v>118</v>
      </c>
      <c r="C137" s="359" t="s">
        <v>179</v>
      </c>
      <c r="D137" s="359"/>
      <c r="E137" s="359"/>
      <c r="F137" s="75"/>
      <c r="G137" s="7"/>
    </row>
    <row r="138" spans="1:7" x14ac:dyDescent="0.3">
      <c r="A138" s="7"/>
      <c r="B138" s="57"/>
      <c r="C138" s="108"/>
      <c r="D138" s="26">
        <f>PARAMETERS!E23</f>
        <v>7.0000000000000007E-2</v>
      </c>
      <c r="E138" s="22" t="s">
        <v>112</v>
      </c>
      <c r="F138" s="75"/>
      <c r="G138" s="7"/>
    </row>
    <row r="139" spans="1:7" x14ac:dyDescent="0.3">
      <c r="A139" s="7"/>
      <c r="B139" s="57"/>
      <c r="C139" s="108"/>
      <c r="D139" s="22"/>
      <c r="E139" s="22"/>
      <c r="F139" s="75"/>
      <c r="G139" s="7"/>
    </row>
    <row r="140" spans="1:7" x14ac:dyDescent="0.3">
      <c r="A140" s="7"/>
      <c r="B140" s="57" t="s">
        <v>119</v>
      </c>
      <c r="C140" s="28" t="s">
        <v>120</v>
      </c>
      <c r="D140" s="27">
        <f>D138*D135*60</f>
        <v>0</v>
      </c>
      <c r="E140" s="22" t="s">
        <v>113</v>
      </c>
      <c r="F140" s="75"/>
      <c r="G140" s="7"/>
    </row>
    <row r="141" spans="1:7" x14ac:dyDescent="0.3">
      <c r="A141" s="7"/>
      <c r="B141" s="57"/>
      <c r="C141" s="28"/>
      <c r="D141" s="22"/>
      <c r="E141" s="22"/>
      <c r="F141" s="75"/>
      <c r="G141" s="7"/>
    </row>
    <row r="142" spans="1:7" x14ac:dyDescent="0.3">
      <c r="A142" s="7"/>
      <c r="B142" s="57" t="s">
        <v>123</v>
      </c>
      <c r="C142" s="29" t="s">
        <v>121</v>
      </c>
      <c r="D142" s="26">
        <f>PARAMETERS!E22</f>
        <v>2.13</v>
      </c>
      <c r="E142" s="22" t="s">
        <v>114</v>
      </c>
      <c r="F142" s="75"/>
      <c r="G142" s="7"/>
    </row>
    <row r="143" spans="1:7" ht="15" thickBot="1" x14ac:dyDescent="0.35">
      <c r="A143" s="7"/>
      <c r="B143" s="58"/>
      <c r="C143" s="29"/>
      <c r="D143" s="22"/>
      <c r="E143" s="22"/>
      <c r="F143" s="75"/>
      <c r="G143" s="7"/>
    </row>
    <row r="144" spans="1:7" ht="15.6" thickTop="1" thickBot="1" x14ac:dyDescent="0.35">
      <c r="A144" s="7"/>
      <c r="B144" s="58"/>
      <c r="C144" s="29"/>
      <c r="D144" s="140" t="s">
        <v>125</v>
      </c>
      <c r="E144" s="141">
        <f>D142*D140</f>
        <v>0</v>
      </c>
      <c r="F144" s="75"/>
      <c r="G144" s="7"/>
    </row>
    <row r="145" spans="1:8" ht="15" thickTop="1" x14ac:dyDescent="0.3">
      <c r="A145" s="7"/>
      <c r="B145" s="58"/>
      <c r="C145" s="25"/>
      <c r="D145" s="23"/>
      <c r="E145" s="23"/>
      <c r="F145" s="75"/>
      <c r="G145" s="7"/>
    </row>
    <row r="146" spans="1:8" ht="28.8" x14ac:dyDescent="0.3">
      <c r="A146" s="7"/>
      <c r="B146" s="57" t="s">
        <v>124</v>
      </c>
      <c r="C146" s="107" t="s">
        <v>180</v>
      </c>
      <c r="D146" s="26">
        <f>PARAMETERS!E24</f>
        <v>8.9200000000000008E-3</v>
      </c>
      <c r="E146" s="15" t="s">
        <v>115</v>
      </c>
      <c r="F146" s="75"/>
      <c r="G146" s="7"/>
    </row>
    <row r="147" spans="1:8" x14ac:dyDescent="0.3">
      <c r="A147" s="7"/>
      <c r="B147" s="57"/>
      <c r="C147" s="107"/>
      <c r="D147" s="24"/>
      <c r="E147" s="15"/>
      <c r="F147" s="75"/>
      <c r="G147" s="7"/>
    </row>
    <row r="148" spans="1:8" ht="28.8" x14ac:dyDescent="0.3">
      <c r="A148" s="7"/>
      <c r="B148" s="57" t="s">
        <v>126</v>
      </c>
      <c r="C148" s="107" t="s">
        <v>129</v>
      </c>
      <c r="D148" s="27">
        <f>D146*D140</f>
        <v>0</v>
      </c>
      <c r="E148" s="15" t="s">
        <v>116</v>
      </c>
      <c r="F148" s="75"/>
      <c r="G148" s="7"/>
    </row>
    <row r="149" spans="1:8" x14ac:dyDescent="0.3">
      <c r="A149" s="7"/>
      <c r="B149" s="57"/>
      <c r="C149" s="107"/>
      <c r="D149" s="24"/>
      <c r="E149" s="15"/>
      <c r="F149" s="75"/>
      <c r="G149" s="7"/>
    </row>
    <row r="150" spans="1:8" x14ac:dyDescent="0.3">
      <c r="A150" s="7"/>
      <c r="B150" s="57" t="s">
        <v>127</v>
      </c>
      <c r="C150" s="30" t="s">
        <v>184</v>
      </c>
      <c r="D150" s="278">
        <f>PARAMETERS!E25</f>
        <v>28.24</v>
      </c>
      <c r="E150" s="7" t="s">
        <v>117</v>
      </c>
      <c r="F150" s="75"/>
      <c r="G150" s="7"/>
      <c r="H150" s="42"/>
    </row>
    <row r="151" spans="1:8" ht="15" thickBot="1" x14ac:dyDescent="0.35">
      <c r="A151" s="7"/>
      <c r="B151" s="58"/>
      <c r="C151" s="22"/>
      <c r="D151" s="22"/>
      <c r="E151" s="22"/>
      <c r="F151" s="75"/>
      <c r="G151" s="7"/>
    </row>
    <row r="152" spans="1:8" ht="15.6" thickTop="1" thickBot="1" x14ac:dyDescent="0.35">
      <c r="A152" s="7"/>
      <c r="B152" s="58"/>
      <c r="C152" s="25"/>
      <c r="D152" s="140" t="s">
        <v>125</v>
      </c>
      <c r="E152" s="141">
        <f>D150*D148</f>
        <v>0</v>
      </c>
      <c r="F152" s="75"/>
      <c r="G152" s="7"/>
    </row>
    <row r="153" spans="1:8" ht="15.6" thickTop="1" thickBot="1" x14ac:dyDescent="0.35">
      <c r="A153" s="7"/>
      <c r="B153" s="58"/>
      <c r="C153" s="25"/>
      <c r="D153" s="140"/>
      <c r="E153" s="23"/>
      <c r="F153" s="75"/>
      <c r="G153" s="7"/>
    </row>
    <row r="154" spans="1:8" ht="15.6" thickTop="1" thickBot="1" x14ac:dyDescent="0.35">
      <c r="A154" s="7"/>
      <c r="B154" s="58"/>
      <c r="C154" s="7"/>
      <c r="D154" s="140" t="s">
        <v>130</v>
      </c>
      <c r="E154" s="141">
        <f>IF(D22="YES",E152+E144,0)</f>
        <v>0</v>
      </c>
      <c r="F154" s="75"/>
      <c r="G154" s="7"/>
    </row>
    <row r="155" spans="1:8" ht="15" thickTop="1" x14ac:dyDescent="0.3">
      <c r="A155" s="7"/>
      <c r="B155" s="60"/>
      <c r="C155" s="132"/>
      <c r="D155" s="132"/>
      <c r="E155" s="132"/>
      <c r="F155" s="99"/>
      <c r="G155" s="7"/>
    </row>
    <row r="156" spans="1:8" ht="15" thickBot="1" x14ac:dyDescent="0.35">
      <c r="A156" s="7"/>
      <c r="B156" s="7"/>
      <c r="C156" s="7"/>
      <c r="D156" s="7"/>
      <c r="E156" s="7"/>
      <c r="F156" s="7"/>
      <c r="G156" s="7"/>
    </row>
    <row r="157" spans="1:8" ht="19.2" thickTop="1" thickBot="1" x14ac:dyDescent="0.35">
      <c r="A157" s="7"/>
      <c r="B157" s="7"/>
      <c r="C157" s="7"/>
      <c r="D157" s="94" t="s">
        <v>132</v>
      </c>
      <c r="E157" s="93" t="e">
        <f>ROUND(SUM(E154,E127,E93,E64),-2)</f>
        <v>#DIV/0!</v>
      </c>
      <c r="F157" s="7"/>
      <c r="G157" s="7"/>
    </row>
    <row r="158" spans="1:8" ht="15" thickTop="1" x14ac:dyDescent="0.3">
      <c r="A158" s="7"/>
      <c r="B158" s="7"/>
      <c r="C158" s="7"/>
      <c r="D158" s="7"/>
      <c r="E158" s="7"/>
      <c r="F158" s="7"/>
      <c r="G158" s="7"/>
    </row>
    <row r="159" spans="1:8" x14ac:dyDescent="0.3">
      <c r="A159" s="7"/>
      <c r="B159" s="7"/>
      <c r="C159" s="7"/>
      <c r="D159" s="7"/>
      <c r="E159" s="7"/>
      <c r="F159" s="7"/>
      <c r="G159" s="7"/>
    </row>
  </sheetData>
  <mergeCells count="30">
    <mergeCell ref="C137:E137"/>
    <mergeCell ref="C98:E98"/>
    <mergeCell ref="D99:E99"/>
    <mergeCell ref="C100:E100"/>
    <mergeCell ref="C134:E134"/>
    <mergeCell ref="C104:E104"/>
    <mergeCell ref="C113:E113"/>
    <mergeCell ref="C122:E122"/>
    <mergeCell ref="C124:E124"/>
    <mergeCell ref="C50:E50"/>
    <mergeCell ref="C69:E69"/>
    <mergeCell ref="C46:E46"/>
    <mergeCell ref="C57:E57"/>
    <mergeCell ref="C88:E88"/>
    <mergeCell ref="C72:E72"/>
    <mergeCell ref="D5:E5"/>
    <mergeCell ref="C2:E2"/>
    <mergeCell ref="D28:E28"/>
    <mergeCell ref="C36:E36"/>
    <mergeCell ref="C39:E39"/>
    <mergeCell ref="D12:E12"/>
    <mergeCell ref="D14:E14"/>
    <mergeCell ref="C18:E18"/>
    <mergeCell ref="C27:E27"/>
    <mergeCell ref="C29:E29"/>
    <mergeCell ref="D6:E6"/>
    <mergeCell ref="D7:E7"/>
    <mergeCell ref="C15:E15"/>
    <mergeCell ref="C16:E16"/>
    <mergeCell ref="D10:E10"/>
  </mergeCells>
  <conditionalFormatting sqref="B69:E71 B72 B73:E74">
    <cfRule type="expression" dxfId="424" priority="5">
      <formula>$D$22="NO"</formula>
    </cfRule>
  </conditionalFormatting>
  <conditionalFormatting sqref="C72">
    <cfRule type="expression" dxfId="423" priority="4">
      <formula>$D$22="NO"</formula>
    </cfRule>
  </conditionalFormatting>
  <dataValidations disablePrompts="1" count="3">
    <dataValidation allowBlank="1" showInputMessage="1" showErrorMessage="1" promptTitle="Urban or Rural" sqref="D37 C37:C64 E38 E51:E56 E40:E45 E47:E49 C28:E35 E58:E63"/>
    <dataValidation showInputMessage="1" showErrorMessage="1" promptTitle="Increased Maintenance" sqref="D99:E99"/>
    <dataValidation type="whole" operator="greaterThanOrEqual" allowBlank="1" showInputMessage="1" showErrorMessage="1" sqref="D70">
      <formula1>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C804E742-A7C1-4174-B15C-7AA58E2B93F3}">
            <xm:f>'5 Signal Retiming Benefit'!$D$14="NO"</xm:f>
            <x14:dxf>
              <font>
                <color theme="0" tint="-0.24994659260841701"/>
              </font>
              <fill>
                <patternFill>
                  <bgColor theme="0" tint="-0.34998626667073579"/>
                </patternFill>
              </fill>
            </x14:dxf>
          </x14:cfRule>
          <xm:sqref>B75:F76 B79:F85 F78 D77:F77 B78:C78</xm:sqref>
        </x14:conditionalFormatting>
        <x14:conditionalFormatting xmlns:xm="http://schemas.microsoft.com/office/excel/2006/main">
          <x14:cfRule type="expression" priority="2" id="{3AD7F2E2-7D21-4F48-9DBA-92B647B2BACB}">
            <xm:f>'5 Signal Retiming Benefit'!$D$14="NO"</xm:f>
            <x14:dxf>
              <font>
                <color theme="0" tint="-0.24994659260841701"/>
              </font>
              <fill>
                <patternFill>
                  <bgColor theme="0" tint="-0.34998626667073579"/>
                </patternFill>
              </fill>
            </x14:dxf>
          </x14:cfRule>
          <xm:sqref>B77</xm:sqref>
        </x14:conditionalFormatting>
        <x14:conditionalFormatting xmlns:xm="http://schemas.microsoft.com/office/excel/2006/main">
          <x14:cfRule type="expression" priority="1" id="{17586D27-AB71-42A3-9488-08F874F3C9DD}">
            <xm:f>'5 Signal Retiming Benefit'!$D$14="NO"</xm:f>
            <x14:dxf>
              <font>
                <color theme="0" tint="-0.24994659260841701"/>
              </font>
              <fill>
                <patternFill>
                  <bgColor theme="0" tint="-0.34998626667073579"/>
                </patternFill>
              </fill>
            </x14:dxf>
          </x14:cfRule>
          <xm:sqref>C77</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showInputMessage="1" showErrorMessage="1">
          <x14:formula1>
            <xm:f>'drop-downs'!$AR$2:$AR$5</xm:f>
          </x14:formula1>
          <xm:sqref>D73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499984740745262"/>
    <pageSetUpPr fitToPage="1"/>
  </sheetPr>
  <dimension ref="A1:I42"/>
  <sheetViews>
    <sheetView view="pageBreakPreview" topLeftCell="A13" zoomScale="85" zoomScaleNormal="85" zoomScaleSheetLayoutView="85" workbookViewId="0">
      <selection activeCell="E22" sqref="E22"/>
    </sheetView>
  </sheetViews>
  <sheetFormatPr defaultColWidth="8.88671875" defaultRowHeight="14.4" x14ac:dyDescent="0.3"/>
  <cols>
    <col min="1" max="1" width="1.5546875" style="4" customWidth="1"/>
    <col min="2" max="2" width="13.109375" style="4" customWidth="1"/>
    <col min="3" max="3" width="44.88671875" style="4" customWidth="1"/>
    <col min="4" max="4" width="11.44140625" style="4" customWidth="1"/>
    <col min="5" max="5" width="29" style="4" customWidth="1"/>
    <col min="6" max="6" width="1" style="4" customWidth="1"/>
    <col min="7" max="7" width="1.33203125" style="4" customWidth="1"/>
    <col min="8" max="9" width="9.109375" style="4" customWidth="1"/>
    <col min="10" max="16384" width="8.88671875" style="4"/>
  </cols>
  <sheetData>
    <row r="1" spans="1:8" x14ac:dyDescent="0.3">
      <c r="A1" s="7"/>
      <c r="B1" s="7"/>
      <c r="C1" s="277" t="s">
        <v>488</v>
      </c>
      <c r="D1" s="7"/>
      <c r="E1" s="7"/>
      <c r="F1" s="7"/>
      <c r="G1" s="7"/>
    </row>
    <row r="2" spans="1:8" ht="25.8" x14ac:dyDescent="0.3">
      <c r="A2" s="7"/>
      <c r="B2" s="7"/>
      <c r="C2" s="176" t="s">
        <v>68</v>
      </c>
      <c r="D2" s="162"/>
      <c r="E2" s="162"/>
      <c r="F2" s="7"/>
      <c r="G2" s="7"/>
    </row>
    <row r="3" spans="1:8" x14ac:dyDescent="0.3">
      <c r="A3" s="7"/>
      <c r="B3" s="7"/>
      <c r="C3" s="7" t="s">
        <v>244</v>
      </c>
      <c r="D3" s="7"/>
      <c r="E3" s="7"/>
      <c r="F3" s="7"/>
      <c r="G3" s="7"/>
    </row>
    <row r="4" spans="1:8" x14ac:dyDescent="0.3">
      <c r="A4" s="7"/>
      <c r="B4" s="7"/>
      <c r="C4" s="7"/>
      <c r="D4" s="7"/>
      <c r="E4" s="7"/>
      <c r="F4" s="7"/>
      <c r="G4" s="7"/>
    </row>
    <row r="5" spans="1:8" x14ac:dyDescent="0.3">
      <c r="A5" s="7"/>
      <c r="B5" s="7"/>
      <c r="C5" s="20" t="s">
        <v>2</v>
      </c>
      <c r="D5" s="321"/>
      <c r="E5" s="321"/>
      <c r="F5" s="7"/>
      <c r="G5" s="7"/>
    </row>
    <row r="6" spans="1:8" x14ac:dyDescent="0.3">
      <c r="A6" s="7"/>
      <c r="B6" s="7"/>
      <c r="C6" s="20" t="s">
        <v>0</v>
      </c>
      <c r="D6" s="321"/>
      <c r="E6" s="321"/>
      <c r="F6" s="7"/>
      <c r="G6" s="7"/>
    </row>
    <row r="7" spans="1:8" x14ac:dyDescent="0.3">
      <c r="A7" s="7"/>
      <c r="B7" s="7"/>
      <c r="C7" s="20" t="s">
        <v>160</v>
      </c>
      <c r="D7" s="321"/>
      <c r="E7" s="321"/>
      <c r="F7" s="7"/>
      <c r="G7" s="7"/>
    </row>
    <row r="8" spans="1:8" x14ac:dyDescent="0.3">
      <c r="A8" s="7"/>
      <c r="B8" s="7"/>
      <c r="C8" s="7"/>
      <c r="D8" s="20"/>
      <c r="E8" s="7"/>
      <c r="F8" s="7"/>
      <c r="G8" s="7"/>
    </row>
    <row r="9" spans="1:8" x14ac:dyDescent="0.3">
      <c r="A9" s="7"/>
      <c r="B9" s="7"/>
      <c r="C9" s="7"/>
      <c r="D9" s="20"/>
      <c r="E9" s="7"/>
      <c r="F9" s="7"/>
      <c r="G9" s="7"/>
    </row>
    <row r="10" spans="1:8" ht="30" customHeight="1" x14ac:dyDescent="0.3">
      <c r="A10" s="7"/>
      <c r="B10" s="50">
        <v>1</v>
      </c>
      <c r="C10" s="19" t="s">
        <v>233</v>
      </c>
      <c r="D10" s="355"/>
      <c r="E10" s="355"/>
      <c r="F10" s="7"/>
      <c r="G10" s="7"/>
    </row>
    <row r="11" spans="1:8" ht="17.25" customHeight="1" x14ac:dyDescent="0.3">
      <c r="A11" s="7"/>
      <c r="B11" s="50"/>
      <c r="C11" s="19"/>
      <c r="D11" s="8"/>
      <c r="E11" s="7"/>
      <c r="F11" s="7"/>
      <c r="G11" s="7"/>
    </row>
    <row r="12" spans="1:8" ht="28.95" customHeight="1" x14ac:dyDescent="0.3">
      <c r="B12" s="4">
        <v>2</v>
      </c>
      <c r="C12" s="317" t="s">
        <v>473</v>
      </c>
      <c r="D12" s="317"/>
      <c r="E12" s="317"/>
      <c r="F12" s="106"/>
      <c r="H12" s="220"/>
    </row>
    <row r="13" spans="1:8" ht="14.4" customHeight="1" x14ac:dyDescent="0.3">
      <c r="C13" s="7"/>
      <c r="D13" s="20" t="s">
        <v>440</v>
      </c>
      <c r="E13" s="123"/>
      <c r="H13" s="217"/>
    </row>
    <row r="14" spans="1:8" ht="14.4" customHeight="1" x14ac:dyDescent="0.3">
      <c r="C14" s="7"/>
      <c r="D14" s="20" t="s">
        <v>6</v>
      </c>
      <c r="E14" s="123"/>
      <c r="H14" s="223"/>
    </row>
    <row r="15" spans="1:8" ht="14.4" customHeight="1" x14ac:dyDescent="0.3">
      <c r="C15" s="7"/>
      <c r="D15" s="20" t="s">
        <v>297</v>
      </c>
      <c r="E15" s="123"/>
      <c r="H15" s="125"/>
    </row>
    <row r="16" spans="1:8" ht="14.4" customHeight="1" x14ac:dyDescent="0.3">
      <c r="C16" s="7"/>
      <c r="D16" s="20" t="s">
        <v>441</v>
      </c>
      <c r="E16" s="123"/>
      <c r="H16" s="125"/>
    </row>
    <row r="17" spans="1:9" ht="14.4" customHeight="1" x14ac:dyDescent="0.3">
      <c r="C17" s="7"/>
      <c r="D17" s="20" t="s">
        <v>442</v>
      </c>
      <c r="E17" s="123"/>
      <c r="H17" s="125"/>
    </row>
    <row r="18" spans="1:9" ht="14.4" customHeight="1" x14ac:dyDescent="0.3">
      <c r="C18" s="7"/>
      <c r="D18" s="20" t="s">
        <v>443</v>
      </c>
      <c r="E18" s="123"/>
      <c r="H18" s="125"/>
    </row>
    <row r="19" spans="1:9" ht="17.25" customHeight="1" x14ac:dyDescent="0.3">
      <c r="A19" s="7"/>
      <c r="B19" s="50"/>
      <c r="C19" s="19"/>
      <c r="D19" s="8"/>
      <c r="E19" s="7"/>
      <c r="F19" s="7"/>
      <c r="G19" s="7"/>
    </row>
    <row r="20" spans="1:9" x14ac:dyDescent="0.3">
      <c r="A20" s="7"/>
      <c r="B20" s="50">
        <v>3</v>
      </c>
      <c r="C20" s="317" t="s">
        <v>481</v>
      </c>
      <c r="D20" s="317"/>
      <c r="E20" s="317"/>
      <c r="F20" s="7"/>
      <c r="G20" s="7"/>
    </row>
    <row r="21" spans="1:9" x14ac:dyDescent="0.3">
      <c r="A21" s="7"/>
      <c r="B21" s="7"/>
      <c r="C21" s="20" t="s">
        <v>7</v>
      </c>
      <c r="D21" s="118"/>
      <c r="E21" s="7"/>
      <c r="F21" s="7"/>
      <c r="G21" s="7"/>
      <c r="H21" s="222"/>
    </row>
    <row r="22" spans="1:9" x14ac:dyDescent="0.3">
      <c r="A22" s="7"/>
      <c r="B22" s="7"/>
      <c r="C22" s="20"/>
      <c r="D22" s="7"/>
      <c r="E22" s="7"/>
      <c r="F22" s="7"/>
      <c r="G22" s="7"/>
      <c r="H22" s="219"/>
    </row>
    <row r="23" spans="1:9" x14ac:dyDescent="0.3">
      <c r="A23" s="7"/>
      <c r="B23" s="50">
        <v>4</v>
      </c>
      <c r="C23" s="361" t="s">
        <v>197</v>
      </c>
      <c r="D23" s="361"/>
      <c r="E23" s="361"/>
      <c r="F23" s="7"/>
      <c r="G23" s="7"/>
    </row>
    <row r="24" spans="1:9" x14ac:dyDescent="0.3">
      <c r="A24" s="7"/>
      <c r="B24" s="50"/>
      <c r="C24" s="111"/>
      <c r="D24" s="118"/>
      <c r="E24" s="7"/>
      <c r="F24" s="7"/>
      <c r="G24" s="7"/>
      <c r="H24" s="214"/>
    </row>
    <row r="25" spans="1:9" x14ac:dyDescent="0.3">
      <c r="A25" s="7"/>
      <c r="B25" s="7"/>
      <c r="C25" s="7"/>
      <c r="D25" s="7"/>
      <c r="E25" s="7"/>
      <c r="F25" s="7"/>
      <c r="G25" s="7"/>
    </row>
    <row r="26" spans="1:9" x14ac:dyDescent="0.3">
      <c r="A26" s="7"/>
      <c r="B26" s="55" t="s">
        <v>24</v>
      </c>
      <c r="C26" s="82"/>
      <c r="D26" s="82"/>
      <c r="E26" s="82"/>
      <c r="F26" s="100"/>
      <c r="G26" s="7"/>
      <c r="I26" s="7"/>
    </row>
    <row r="27" spans="1:9" x14ac:dyDescent="0.3">
      <c r="A27" s="7"/>
      <c r="B27" s="58"/>
      <c r="C27" s="7"/>
      <c r="D27" s="7"/>
      <c r="E27" s="7"/>
      <c r="F27" s="75"/>
      <c r="G27" s="58"/>
      <c r="H27" s="7"/>
      <c r="I27" s="7"/>
    </row>
    <row r="28" spans="1:9" ht="50.25" customHeight="1" x14ac:dyDescent="0.3">
      <c r="A28" s="7"/>
      <c r="B28" s="56" t="s">
        <v>25</v>
      </c>
      <c r="C28" s="317" t="s">
        <v>196</v>
      </c>
      <c r="D28" s="317"/>
      <c r="E28" s="317"/>
      <c r="F28" s="75"/>
      <c r="G28" s="58"/>
      <c r="H28" s="224"/>
      <c r="I28" s="7"/>
    </row>
    <row r="29" spans="1:9" x14ac:dyDescent="0.3">
      <c r="A29" s="7"/>
      <c r="B29" s="57"/>
      <c r="C29" s="7"/>
      <c r="D29" s="369"/>
      <c r="E29" s="370"/>
      <c r="F29" s="75"/>
      <c r="G29" s="58"/>
      <c r="H29" s="216"/>
      <c r="I29" s="7"/>
    </row>
    <row r="30" spans="1:9" ht="45.75" customHeight="1" x14ac:dyDescent="0.3">
      <c r="A30" s="7"/>
      <c r="B30" s="56" t="s">
        <v>110</v>
      </c>
      <c r="C30" s="317" t="s">
        <v>482</v>
      </c>
      <c r="D30" s="317"/>
      <c r="E30" s="317"/>
      <c r="F30" s="75"/>
      <c r="G30" s="7"/>
    </row>
    <row r="31" spans="1:9" x14ac:dyDescent="0.3">
      <c r="A31" s="7"/>
      <c r="B31" s="57"/>
      <c r="C31" s="7"/>
      <c r="D31" s="18"/>
      <c r="E31" s="7" t="s">
        <v>139</v>
      </c>
      <c r="F31" s="75"/>
      <c r="G31" s="7"/>
    </row>
    <row r="32" spans="1:9" x14ac:dyDescent="0.3">
      <c r="A32" s="7"/>
      <c r="B32" s="56" t="s">
        <v>140</v>
      </c>
      <c r="C32" s="7" t="s">
        <v>141</v>
      </c>
      <c r="D32" s="32"/>
      <c r="E32" s="7"/>
      <c r="F32" s="75"/>
      <c r="G32" s="7"/>
    </row>
    <row r="33" spans="1:8" x14ac:dyDescent="0.3">
      <c r="A33" s="7"/>
      <c r="B33" s="190"/>
      <c r="C33" s="15"/>
      <c r="D33" s="12"/>
      <c r="E33" s="15"/>
      <c r="F33" s="75"/>
      <c r="G33" s="7"/>
    </row>
    <row r="34" spans="1:8" x14ac:dyDescent="0.3">
      <c r="A34" s="7"/>
      <c r="B34" s="190" t="s">
        <v>156</v>
      </c>
      <c r="C34" s="15" t="s">
        <v>591</v>
      </c>
      <c r="E34" s="15"/>
      <c r="F34" s="75"/>
      <c r="G34" s="7"/>
    </row>
    <row r="35" spans="1:8" x14ac:dyDescent="0.3">
      <c r="A35" s="7"/>
      <c r="B35" s="190"/>
      <c r="C35" s="15"/>
      <c r="D35" s="32"/>
      <c r="E35" s="15"/>
      <c r="F35" s="75"/>
      <c r="G35" s="7"/>
    </row>
    <row r="36" spans="1:8" ht="15" thickBot="1" x14ac:dyDescent="0.35">
      <c r="A36" s="7"/>
      <c r="B36" s="57"/>
      <c r="C36" s="7"/>
      <c r="D36" s="7"/>
      <c r="E36" s="7"/>
      <c r="F36" s="75"/>
      <c r="G36" s="7"/>
    </row>
    <row r="37" spans="1:8" ht="15.6" thickTop="1" thickBot="1" x14ac:dyDescent="0.35">
      <c r="A37" s="7"/>
      <c r="B37" s="57"/>
      <c r="C37" s="7"/>
      <c r="D37" s="140" t="s">
        <v>133</v>
      </c>
      <c r="E37" s="199">
        <f>'3 Signal Rehab Benefit'!E51</f>
        <v>0</v>
      </c>
      <c r="F37" s="75"/>
      <c r="G37" s="7"/>
      <c r="H37" s="214"/>
    </row>
    <row r="38" spans="1:8" ht="15" thickTop="1" x14ac:dyDescent="0.3">
      <c r="A38" s="7"/>
      <c r="B38" s="60"/>
      <c r="C38" s="132"/>
      <c r="D38" s="132"/>
      <c r="E38" s="132"/>
      <c r="F38" s="99"/>
      <c r="G38" s="7"/>
    </row>
    <row r="39" spans="1:8" ht="15" thickBot="1" x14ac:dyDescent="0.35">
      <c r="A39" s="7"/>
      <c r="B39" s="20"/>
      <c r="C39" s="7"/>
      <c r="D39" s="140"/>
      <c r="E39" s="161"/>
      <c r="F39" s="7"/>
      <c r="G39" s="7"/>
    </row>
    <row r="40" spans="1:8" ht="19.2" thickTop="1" thickBot="1" x14ac:dyDescent="0.35">
      <c r="A40" s="7"/>
      <c r="B40" s="20"/>
      <c r="C40" s="7"/>
      <c r="D40" s="94" t="s">
        <v>132</v>
      </c>
      <c r="E40" s="93">
        <f>'3 Signal Rehab Benefit'!E54</f>
        <v>0</v>
      </c>
      <c r="F40" s="7"/>
      <c r="G40" s="7"/>
    </row>
    <row r="41" spans="1:8" ht="19.2" thickTop="1" thickBot="1" x14ac:dyDescent="0.35">
      <c r="A41" s="7"/>
      <c r="B41" s="7"/>
      <c r="C41" s="7"/>
      <c r="D41" s="94" t="s">
        <v>330</v>
      </c>
      <c r="E41" s="96" t="e">
        <f>E40/D10</f>
        <v>#DIV/0!</v>
      </c>
      <c r="F41" s="7"/>
      <c r="G41" s="7"/>
    </row>
    <row r="42" spans="1:8" ht="15" thickTop="1" x14ac:dyDescent="0.3"/>
  </sheetData>
  <mergeCells count="10">
    <mergeCell ref="C28:E28"/>
    <mergeCell ref="D29:E29"/>
    <mergeCell ref="C30:E30"/>
    <mergeCell ref="C20:E20"/>
    <mergeCell ref="D5:E5"/>
    <mergeCell ref="D6:E6"/>
    <mergeCell ref="D7:E7"/>
    <mergeCell ref="D10:E10"/>
    <mergeCell ref="C23:E23"/>
    <mergeCell ref="C12:E12"/>
  </mergeCells>
  <conditionalFormatting sqref="B26:F38">
    <cfRule type="expression" dxfId="419" priority="5">
      <formula>$D$21="NO"</formula>
    </cfRule>
  </conditionalFormatting>
  <dataValidations count="3">
    <dataValidation type="list" showInputMessage="1" showErrorMessage="1" sqref="D21">
      <formula1>YES.NO</formula1>
    </dataValidation>
    <dataValidation type="whole" allowBlank="1" showInputMessage="1" showErrorMessage="1" sqref="D10">
      <formula1>0</formula1>
      <formula2>10000000</formula2>
    </dataValidation>
    <dataValidation showInputMessage="1" showErrorMessage="1" sqref="D24 D22"/>
  </dataValidations>
  <pageMargins left="0.7" right="0.7" top="0.75" bottom="0.75" header="0.3" footer="0.3"/>
  <pageSetup scale="88" fitToHeight="0" orientation="portrait" r:id="rId1"/>
  <drawing r:id="rId2"/>
  <extLst>
    <ext xmlns:x14="http://schemas.microsoft.com/office/spreadsheetml/2009/9/main" uri="{CCE6A557-97BC-4b89-ADB6-D9C93CAAB3DF}">
      <x14:dataValidations xmlns:xm="http://schemas.microsoft.com/office/excel/2006/main" count="4">
        <x14:dataValidation type="list" showInputMessage="1" showErrorMessage="1" promptTitle="Region">
          <x14:formula1>
            <xm:f>'drop-downs'!$I$2:$I$7</xm:f>
          </x14:formula1>
          <xm:sqref>D5:E5</xm:sqref>
        </x14:dataValidation>
        <x14:dataValidation type="list" showInputMessage="1" showErrorMessage="1" promptTitle="Increased Maintenance">
          <x14:formula1>
            <xm:f>'drop-downs'!$Y$2:$Y$4</xm:f>
          </x14:formula1>
          <xm:sqref>D29:E29</xm:sqref>
        </x14:dataValidation>
        <x14:dataValidation type="list" showInputMessage="1" showErrorMessage="1">
          <x14:formula1>
            <xm:f>'drop-downs'!$AR$2:$AR$4</xm:f>
          </x14:formula1>
          <xm:sqref>E13:E18</xm:sqref>
        </x14:dataValidation>
        <x14:dataValidation type="list" allowBlank="1" showInputMessage="1" showErrorMessage="1">
          <x14:formula1>
            <xm:f>'drop-downs'!$AE$2:$AE$5</xm:f>
          </x14:formula1>
          <xm:sqref>D35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2" tint="-0.499984740745262"/>
  </sheetPr>
  <dimension ref="A1:K55"/>
  <sheetViews>
    <sheetView topLeftCell="A30" workbookViewId="0">
      <selection activeCell="C48" sqref="C48:E48"/>
    </sheetView>
  </sheetViews>
  <sheetFormatPr defaultColWidth="8.88671875" defaultRowHeight="14.4" x14ac:dyDescent="0.3"/>
  <cols>
    <col min="1" max="1" width="1.33203125" style="4" customWidth="1"/>
    <col min="2" max="2" width="11.6640625" style="4" customWidth="1"/>
    <col min="3" max="3" width="44.88671875" style="4" customWidth="1"/>
    <col min="4" max="4" width="11.44140625" style="4" customWidth="1"/>
    <col min="5" max="5" width="29" style="4" customWidth="1"/>
    <col min="6" max="6" width="1" style="4" customWidth="1"/>
    <col min="7" max="7" width="1.109375" style="4" customWidth="1"/>
    <col min="8" max="8" width="10.109375" style="4" bestFit="1" customWidth="1"/>
    <col min="9" max="16384" width="8.88671875" style="4"/>
  </cols>
  <sheetData>
    <row r="1" spans="1:7" x14ac:dyDescent="0.3">
      <c r="A1" s="7"/>
      <c r="B1" s="7"/>
      <c r="C1" s="129" t="s">
        <v>239</v>
      </c>
      <c r="D1" s="7"/>
      <c r="E1" s="7"/>
      <c r="F1" s="7"/>
      <c r="G1" s="7"/>
    </row>
    <row r="2" spans="1:7" ht="25.8" x14ac:dyDescent="0.3">
      <c r="A2" s="7"/>
      <c r="B2" s="7"/>
      <c r="C2" s="371" t="s">
        <v>68</v>
      </c>
      <c r="D2" s="371"/>
      <c r="E2" s="371"/>
      <c r="F2" s="7"/>
      <c r="G2" s="7"/>
    </row>
    <row r="3" spans="1:7" x14ac:dyDescent="0.3">
      <c r="A3" s="7"/>
      <c r="B3" s="7"/>
      <c r="F3" s="7"/>
      <c r="G3" s="7"/>
    </row>
    <row r="4" spans="1:7" x14ac:dyDescent="0.3">
      <c r="A4" s="7"/>
      <c r="B4" s="7"/>
      <c r="C4" s="7"/>
      <c r="D4" s="7"/>
      <c r="E4" s="7"/>
      <c r="F4" s="7"/>
      <c r="G4" s="7"/>
    </row>
    <row r="5" spans="1:7" x14ac:dyDescent="0.3">
      <c r="A5" s="7"/>
      <c r="B5" s="7"/>
      <c r="C5" s="120" t="s">
        <v>2</v>
      </c>
      <c r="D5" s="363">
        <f>'3 Signal Rehab'!D5:E5</f>
        <v>0</v>
      </c>
      <c r="E5" s="363"/>
      <c r="F5" s="7"/>
      <c r="G5" s="7"/>
    </row>
    <row r="6" spans="1:7" x14ac:dyDescent="0.3">
      <c r="A6" s="7"/>
      <c r="B6" s="7"/>
      <c r="C6" s="120" t="s">
        <v>0</v>
      </c>
      <c r="D6" s="363">
        <f>'3 Signal Rehab'!D6:E6</f>
        <v>0</v>
      </c>
      <c r="E6" s="363"/>
      <c r="F6" s="7"/>
      <c r="G6" s="7"/>
    </row>
    <row r="7" spans="1:7" x14ac:dyDescent="0.3">
      <c r="A7" s="7"/>
      <c r="B7" s="7"/>
      <c r="C7" s="20" t="s">
        <v>160</v>
      </c>
      <c r="D7" s="363">
        <f>'3 Signal Rehab'!D7:E7</f>
        <v>0</v>
      </c>
      <c r="E7" s="363"/>
      <c r="F7" s="7"/>
      <c r="G7" s="7"/>
    </row>
    <row r="8" spans="1:7" x14ac:dyDescent="0.3">
      <c r="A8" s="7"/>
      <c r="B8" s="7"/>
      <c r="C8" s="15"/>
      <c r="D8" s="120"/>
      <c r="E8" s="15"/>
      <c r="F8" s="7"/>
      <c r="G8" s="7"/>
    </row>
    <row r="9" spans="1:7" x14ac:dyDescent="0.3">
      <c r="A9" s="7"/>
      <c r="B9" s="7"/>
      <c r="C9" s="15"/>
      <c r="D9" s="120"/>
      <c r="E9" s="15"/>
      <c r="F9" s="7"/>
      <c r="G9" s="7"/>
    </row>
    <row r="10" spans="1:7" x14ac:dyDescent="0.3">
      <c r="A10" s="7"/>
      <c r="B10" s="50">
        <v>1</v>
      </c>
      <c r="C10" s="19" t="s">
        <v>233</v>
      </c>
      <c r="D10" s="358">
        <f>'3 Signal Rehab'!D10:E10</f>
        <v>0</v>
      </c>
      <c r="E10" s="358"/>
      <c r="F10" s="7"/>
      <c r="G10" s="7"/>
    </row>
    <row r="11" spans="1:7" x14ac:dyDescent="0.3">
      <c r="A11" s="7"/>
      <c r="B11" s="50"/>
      <c r="C11" s="38"/>
      <c r="D11" s="14"/>
      <c r="E11" s="15"/>
      <c r="F11" s="7"/>
      <c r="G11" s="7"/>
    </row>
    <row r="12" spans="1:7" x14ac:dyDescent="0.3">
      <c r="A12" s="7"/>
      <c r="B12" s="50">
        <v>2</v>
      </c>
      <c r="C12" s="360" t="s">
        <v>5</v>
      </c>
      <c r="D12" s="360"/>
      <c r="E12" s="360"/>
      <c r="F12" s="7"/>
      <c r="G12" s="7"/>
    </row>
    <row r="13" spans="1:7" x14ac:dyDescent="0.3">
      <c r="A13" s="7"/>
      <c r="B13" s="7"/>
      <c r="C13" s="120" t="s">
        <v>7</v>
      </c>
      <c r="D13" s="52">
        <f>'3 Signal Rehab'!D21</f>
        <v>0</v>
      </c>
      <c r="E13" s="15"/>
      <c r="F13" s="7"/>
      <c r="G13" s="7"/>
    </row>
    <row r="14" spans="1:7" x14ac:dyDescent="0.3">
      <c r="A14" s="7"/>
      <c r="B14" s="7"/>
      <c r="C14" s="7"/>
      <c r="D14" s="7"/>
      <c r="E14" s="7"/>
      <c r="F14" s="7"/>
      <c r="G14" s="7"/>
    </row>
    <row r="15" spans="1:7" x14ac:dyDescent="0.3">
      <c r="A15" s="7"/>
      <c r="B15" s="50">
        <v>3</v>
      </c>
      <c r="C15" s="361" t="s">
        <v>197</v>
      </c>
      <c r="D15" s="361"/>
      <c r="E15" s="361"/>
      <c r="F15" s="7"/>
      <c r="G15" s="7"/>
    </row>
    <row r="16" spans="1:7" x14ac:dyDescent="0.3">
      <c r="A16" s="7"/>
      <c r="B16" s="50"/>
      <c r="C16" s="111"/>
      <c r="D16" s="52">
        <f>'3 Signal Rehab'!D24</f>
        <v>0</v>
      </c>
      <c r="E16" s="7"/>
      <c r="F16" s="7"/>
      <c r="G16" s="7"/>
    </row>
    <row r="17" spans="1:11" x14ac:dyDescent="0.3">
      <c r="A17" s="7"/>
      <c r="B17" s="7"/>
      <c r="C17" s="7"/>
      <c r="D17" s="7"/>
      <c r="E17" s="7"/>
      <c r="F17" s="7"/>
      <c r="G17" s="7"/>
    </row>
    <row r="18" spans="1:11" x14ac:dyDescent="0.3">
      <c r="A18" s="7"/>
      <c r="B18" s="55" t="s">
        <v>24</v>
      </c>
      <c r="C18" s="82"/>
      <c r="D18" s="82"/>
      <c r="E18" s="82"/>
      <c r="F18" s="100"/>
      <c r="G18" s="7"/>
    </row>
    <row r="19" spans="1:11" x14ac:dyDescent="0.3">
      <c r="A19" s="7"/>
      <c r="B19" s="58"/>
      <c r="C19" s="7"/>
      <c r="D19" s="7"/>
      <c r="E19" s="7"/>
      <c r="F19" s="75"/>
      <c r="G19" s="7"/>
    </row>
    <row r="20" spans="1:11" ht="30" customHeight="1" x14ac:dyDescent="0.3">
      <c r="A20" s="7"/>
      <c r="B20" s="56" t="s">
        <v>25</v>
      </c>
      <c r="C20" s="317" t="s">
        <v>196</v>
      </c>
      <c r="D20" s="317"/>
      <c r="E20" s="317"/>
      <c r="F20" s="75"/>
      <c r="G20" s="7"/>
    </row>
    <row r="21" spans="1:11" x14ac:dyDescent="0.3">
      <c r="A21" s="7"/>
      <c r="B21" s="57"/>
      <c r="C21" s="15"/>
      <c r="D21" s="375">
        <f>'3 Signal Rehab'!D29:E29</f>
        <v>0</v>
      </c>
      <c r="E21" s="376"/>
      <c r="F21" s="75"/>
      <c r="G21" s="7"/>
    </row>
    <row r="22" spans="1:11" ht="29.25" customHeight="1" x14ac:dyDescent="0.3">
      <c r="A22" s="7"/>
      <c r="B22" s="56" t="s">
        <v>110</v>
      </c>
      <c r="C22" s="360" t="s">
        <v>138</v>
      </c>
      <c r="D22" s="360"/>
      <c r="E22" s="360"/>
      <c r="F22" s="75"/>
      <c r="G22" s="7"/>
    </row>
    <row r="23" spans="1:11" x14ac:dyDescent="0.3">
      <c r="A23" s="7"/>
      <c r="B23" s="57"/>
      <c r="C23" s="15"/>
      <c r="D23" s="31">
        <f>'3 Signal Rehab'!D31</f>
        <v>0</v>
      </c>
      <c r="E23" s="15" t="s">
        <v>139</v>
      </c>
      <c r="F23" s="75"/>
      <c r="G23" s="7"/>
    </row>
    <row r="24" spans="1:11" x14ac:dyDescent="0.3">
      <c r="A24" s="7"/>
      <c r="B24" s="56" t="s">
        <v>140</v>
      </c>
      <c r="C24" s="15" t="s">
        <v>141</v>
      </c>
      <c r="D24" s="33">
        <f>'3 Signal Rehab'!D32</f>
        <v>0</v>
      </c>
      <c r="E24" s="15"/>
      <c r="F24" s="75"/>
      <c r="G24" s="7"/>
    </row>
    <row r="25" spans="1:11" x14ac:dyDescent="0.3">
      <c r="A25" s="7"/>
      <c r="B25" s="56"/>
      <c r="C25" s="15"/>
      <c r="D25" s="144"/>
      <c r="E25" s="15"/>
      <c r="F25" s="75"/>
      <c r="G25" s="7"/>
    </row>
    <row r="26" spans="1:11" x14ac:dyDescent="0.3">
      <c r="A26" s="7"/>
      <c r="B26" s="56" t="s">
        <v>142</v>
      </c>
      <c r="C26" s="360" t="s">
        <v>147</v>
      </c>
      <c r="D26" s="360"/>
      <c r="E26" s="360"/>
      <c r="F26" s="75"/>
      <c r="G26" s="7"/>
    </row>
    <row r="27" spans="1:11" ht="28.8" x14ac:dyDescent="0.3">
      <c r="A27" s="7"/>
      <c r="B27" s="56"/>
      <c r="C27" s="38"/>
      <c r="D27" s="34" t="s">
        <v>145</v>
      </c>
      <c r="E27" s="113" t="s">
        <v>254</v>
      </c>
      <c r="F27" s="75"/>
      <c r="G27" s="7"/>
    </row>
    <row r="28" spans="1:11" x14ac:dyDescent="0.3">
      <c r="A28" s="7"/>
      <c r="B28" s="56"/>
      <c r="C28" s="20" t="s">
        <v>27</v>
      </c>
      <c r="D28" s="62">
        <f>D37*3</f>
        <v>633</v>
      </c>
      <c r="E28" s="63">
        <f>E37</f>
        <v>1253.49</v>
      </c>
      <c r="F28" s="75"/>
      <c r="G28" s="7"/>
      <c r="H28" s="38"/>
      <c r="I28" s="34"/>
      <c r="J28" s="113"/>
      <c r="K28" s="15"/>
    </row>
    <row r="29" spans="1:11" x14ac:dyDescent="0.3">
      <c r="A29" s="7"/>
      <c r="B29" s="56"/>
      <c r="C29" s="20" t="s">
        <v>28</v>
      </c>
      <c r="D29" s="62">
        <f t="shared" ref="D29:D33" si="0">D38*3</f>
        <v>3144</v>
      </c>
      <c r="E29" s="63">
        <f t="shared" ref="E29:E33" si="1">E38</f>
        <v>316.20999999999998</v>
      </c>
      <c r="F29" s="75"/>
      <c r="G29" s="7"/>
      <c r="H29" s="120"/>
      <c r="I29" s="65"/>
      <c r="J29" s="66"/>
      <c r="K29" s="15"/>
    </row>
    <row r="30" spans="1:11" x14ac:dyDescent="0.3">
      <c r="A30" s="7"/>
      <c r="B30" s="56"/>
      <c r="C30" s="20" t="s">
        <v>29</v>
      </c>
      <c r="D30" s="62">
        <f t="shared" si="0"/>
        <v>654</v>
      </c>
      <c r="E30" s="63">
        <f t="shared" si="1"/>
        <v>482.33</v>
      </c>
      <c r="F30" s="75"/>
      <c r="G30" s="7"/>
      <c r="H30" s="120"/>
      <c r="I30" s="65"/>
      <c r="J30" s="66"/>
      <c r="K30" s="15"/>
    </row>
    <row r="31" spans="1:11" x14ac:dyDescent="0.3">
      <c r="A31" s="7"/>
      <c r="B31" s="56"/>
      <c r="C31" s="20" t="s">
        <v>30</v>
      </c>
      <c r="D31" s="62">
        <f t="shared" si="0"/>
        <v>258</v>
      </c>
      <c r="E31" s="63">
        <f t="shared" si="1"/>
        <v>436.82</v>
      </c>
      <c r="F31" s="75"/>
      <c r="G31" s="7"/>
      <c r="H31" s="120"/>
      <c r="I31" s="65"/>
      <c r="J31" s="66"/>
      <c r="K31" s="15"/>
    </row>
    <row r="32" spans="1:11" x14ac:dyDescent="0.3">
      <c r="A32" s="7"/>
      <c r="B32" s="56"/>
      <c r="C32" s="20" t="s">
        <v>32</v>
      </c>
      <c r="D32" s="62">
        <f t="shared" si="0"/>
        <v>69</v>
      </c>
      <c r="E32" s="63">
        <f t="shared" si="1"/>
        <v>444.35</v>
      </c>
      <c r="F32" s="75"/>
      <c r="G32" s="7"/>
      <c r="H32" s="120"/>
      <c r="I32" s="65"/>
      <c r="J32" s="66"/>
      <c r="K32" s="15"/>
    </row>
    <row r="33" spans="1:11" x14ac:dyDescent="0.3">
      <c r="A33" s="7"/>
      <c r="B33" s="57"/>
      <c r="C33" s="20" t="s">
        <v>31</v>
      </c>
      <c r="D33" s="62">
        <f t="shared" si="0"/>
        <v>312</v>
      </c>
      <c r="E33" s="63">
        <f t="shared" si="1"/>
        <v>733</v>
      </c>
      <c r="F33" s="75"/>
      <c r="G33" s="7"/>
      <c r="H33" s="120"/>
      <c r="I33" s="65"/>
      <c r="J33" s="66"/>
      <c r="K33" s="15"/>
    </row>
    <row r="34" spans="1:11" x14ac:dyDescent="0.3">
      <c r="A34" s="7"/>
      <c r="B34" s="57"/>
      <c r="C34" s="20"/>
      <c r="D34" s="20"/>
      <c r="E34" s="20"/>
      <c r="F34" s="75"/>
      <c r="G34" s="7"/>
      <c r="H34" s="120"/>
      <c r="I34" s="65"/>
      <c r="J34" s="66"/>
      <c r="K34" s="15"/>
    </row>
    <row r="35" spans="1:11" x14ac:dyDescent="0.3">
      <c r="A35" s="7"/>
      <c r="B35" s="56" t="s">
        <v>146</v>
      </c>
      <c r="C35" s="352" t="s">
        <v>148</v>
      </c>
      <c r="D35" s="352"/>
      <c r="E35" s="352"/>
      <c r="F35" s="75"/>
      <c r="G35" s="7"/>
      <c r="H35" s="120"/>
      <c r="I35" s="120"/>
      <c r="J35" s="120"/>
      <c r="K35" s="15"/>
    </row>
    <row r="36" spans="1:11" ht="43.2" x14ac:dyDescent="0.3">
      <c r="A36" s="7"/>
      <c r="B36" s="56"/>
      <c r="C36" s="38"/>
      <c r="D36" s="34" t="s">
        <v>149</v>
      </c>
      <c r="E36" s="87" t="s">
        <v>256</v>
      </c>
      <c r="F36" s="75"/>
      <c r="G36" s="7"/>
      <c r="H36" s="15"/>
      <c r="I36" s="15"/>
      <c r="J36" s="15"/>
      <c r="K36" s="15"/>
    </row>
    <row r="37" spans="1:11" x14ac:dyDescent="0.3">
      <c r="A37" s="7"/>
      <c r="B37" s="56"/>
      <c r="C37" s="20" t="s">
        <v>27</v>
      </c>
      <c r="D37" s="64">
        <f>VLOOKUP($C37,PARAMETERS!$I$17:$K$22,2,0)</f>
        <v>211</v>
      </c>
      <c r="E37" s="61">
        <f>VLOOKUP($C37,PARAMETERS!$I$17:$K$22,3,0)</f>
        <v>1253.49</v>
      </c>
      <c r="F37" s="75"/>
      <c r="G37" s="7"/>
      <c r="H37" s="38"/>
      <c r="I37" s="34"/>
      <c r="J37" s="87"/>
      <c r="K37" s="15"/>
    </row>
    <row r="38" spans="1:11" x14ac:dyDescent="0.3">
      <c r="A38" s="7"/>
      <c r="B38" s="56"/>
      <c r="C38" s="20" t="s">
        <v>28</v>
      </c>
      <c r="D38" s="64">
        <f>VLOOKUP($C38,PARAMETERS!$I$17:$K$22,2,0)</f>
        <v>1048</v>
      </c>
      <c r="E38" s="61">
        <f>VLOOKUP($C38,PARAMETERS!$I$17:$K$22,3,0)</f>
        <v>316.20999999999998</v>
      </c>
      <c r="F38" s="75"/>
      <c r="G38" s="7"/>
      <c r="H38" s="120"/>
      <c r="I38" s="65"/>
      <c r="J38" s="66"/>
      <c r="K38" s="15"/>
    </row>
    <row r="39" spans="1:11" x14ac:dyDescent="0.3">
      <c r="A39" s="7"/>
      <c r="B39" s="56"/>
      <c r="C39" s="20" t="s">
        <v>29</v>
      </c>
      <c r="D39" s="64">
        <f>VLOOKUP($C39,PARAMETERS!$I$17:$K$22,2,0)</f>
        <v>218</v>
      </c>
      <c r="E39" s="61">
        <f>VLOOKUP($C39,PARAMETERS!$I$17:$K$22,3,0)</f>
        <v>482.33</v>
      </c>
      <c r="F39" s="75"/>
      <c r="G39" s="7"/>
      <c r="H39" s="120"/>
      <c r="I39" s="65"/>
      <c r="J39" s="66"/>
      <c r="K39" s="15"/>
    </row>
    <row r="40" spans="1:11" x14ac:dyDescent="0.3">
      <c r="A40" s="7"/>
      <c r="B40" s="56"/>
      <c r="C40" s="20" t="s">
        <v>30</v>
      </c>
      <c r="D40" s="64">
        <f>VLOOKUP($C40,PARAMETERS!$I$17:$K$22,2,0)</f>
        <v>86</v>
      </c>
      <c r="E40" s="61">
        <f>VLOOKUP($C40,PARAMETERS!$I$17:$K$22,3,0)</f>
        <v>436.82</v>
      </c>
      <c r="F40" s="75"/>
      <c r="G40" s="7"/>
      <c r="H40" s="120"/>
      <c r="I40" s="65"/>
      <c r="J40" s="66"/>
      <c r="K40" s="15"/>
    </row>
    <row r="41" spans="1:11" x14ac:dyDescent="0.3">
      <c r="A41" s="7"/>
      <c r="B41" s="57"/>
      <c r="C41" s="20" t="s">
        <v>32</v>
      </c>
      <c r="D41" s="64">
        <f>VLOOKUP($C41,PARAMETERS!$I$17:$K$22,2,0)</f>
        <v>23</v>
      </c>
      <c r="E41" s="61">
        <f>VLOOKUP($C41,PARAMETERS!$I$17:$K$22,3,0)</f>
        <v>444.35</v>
      </c>
      <c r="F41" s="75"/>
      <c r="G41" s="7"/>
      <c r="H41" s="120"/>
      <c r="I41" s="65"/>
      <c r="J41" s="66"/>
      <c r="K41" s="15"/>
    </row>
    <row r="42" spans="1:11" x14ac:dyDescent="0.3">
      <c r="A42" s="7"/>
      <c r="B42" s="57"/>
      <c r="C42" s="20" t="s">
        <v>31</v>
      </c>
      <c r="D42" s="64">
        <f>VLOOKUP($C42,PARAMETERS!$I$17:$K$22,2,0)</f>
        <v>104</v>
      </c>
      <c r="E42" s="61">
        <f>VLOOKUP($C42,PARAMETERS!$I$17:$K$22,3,0)</f>
        <v>733</v>
      </c>
      <c r="F42" s="75"/>
      <c r="G42" s="7"/>
      <c r="H42" s="120"/>
      <c r="I42" s="65"/>
      <c r="J42" s="66"/>
      <c r="K42" s="15"/>
    </row>
    <row r="43" spans="1:11" x14ac:dyDescent="0.3">
      <c r="A43" s="7"/>
      <c r="B43" s="57"/>
      <c r="C43" s="20"/>
      <c r="D43" s="20"/>
      <c r="E43" s="20"/>
      <c r="F43" s="75"/>
      <c r="G43" s="7"/>
      <c r="H43" s="120"/>
      <c r="I43" s="65"/>
      <c r="J43" s="66"/>
      <c r="K43" s="15"/>
    </row>
    <row r="44" spans="1:11" ht="30" customHeight="1" x14ac:dyDescent="0.3">
      <c r="A44" s="7"/>
      <c r="B44" s="56" t="s">
        <v>150</v>
      </c>
      <c r="C44" s="317" t="s">
        <v>151</v>
      </c>
      <c r="D44" s="317"/>
      <c r="E44" s="317"/>
      <c r="F44" s="75"/>
      <c r="G44" s="7"/>
    </row>
    <row r="45" spans="1:11" x14ac:dyDescent="0.3">
      <c r="A45" s="7"/>
      <c r="B45" s="56"/>
      <c r="C45" s="106"/>
      <c r="D45" s="35" t="str">
        <f>IF(D21="6 months",2*D24,IF(D21="1 year",D24,IF(D21="3 years",D24/3,"-")))</f>
        <v>-</v>
      </c>
      <c r="E45" s="20"/>
      <c r="F45" s="75"/>
      <c r="G45" s="7"/>
    </row>
    <row r="46" spans="1:11" ht="14.4" customHeight="1" x14ac:dyDescent="0.3">
      <c r="A46" s="7"/>
      <c r="B46" s="190" t="s">
        <v>194</v>
      </c>
      <c r="C46" s="317" t="s">
        <v>591</v>
      </c>
      <c r="D46" s="317"/>
      <c r="E46" s="317"/>
      <c r="F46" s="75"/>
      <c r="G46" s="7"/>
    </row>
    <row r="47" spans="1:11" x14ac:dyDescent="0.3">
      <c r="A47" s="7"/>
      <c r="B47" s="190"/>
      <c r="C47" s="285"/>
      <c r="D47" s="288">
        <f>'3 Signal Rehab'!D35</f>
        <v>0</v>
      </c>
      <c r="E47" s="20"/>
      <c r="F47" s="75"/>
      <c r="G47" s="7"/>
    </row>
    <row r="48" spans="1:11" x14ac:dyDescent="0.3">
      <c r="A48" s="7"/>
      <c r="B48" s="190" t="s">
        <v>592</v>
      </c>
      <c r="C48" s="317" t="s">
        <v>593</v>
      </c>
      <c r="D48" s="317"/>
      <c r="E48" s="317"/>
      <c r="F48" s="75"/>
      <c r="G48" s="7"/>
    </row>
    <row r="49" spans="1:7" x14ac:dyDescent="0.3">
      <c r="A49" s="7"/>
      <c r="B49" s="190"/>
      <c r="C49" s="285"/>
      <c r="D49" s="35" t="e">
        <f>(1-(VLOOKUP(D47,'drop-downs'!AE2:AF5,2,FALSE))/100)*D45</f>
        <v>#N/A</v>
      </c>
      <c r="E49" s="20"/>
      <c r="F49" s="75"/>
      <c r="G49" s="7"/>
    </row>
    <row r="50" spans="1:7" ht="15" thickBot="1" x14ac:dyDescent="0.35">
      <c r="A50" s="7"/>
      <c r="B50" s="190"/>
      <c r="C50" s="285"/>
      <c r="D50" s="287"/>
      <c r="E50" s="20"/>
      <c r="F50" s="75"/>
      <c r="G50" s="7"/>
    </row>
    <row r="51" spans="1:7" ht="15.6" thickTop="1" thickBot="1" x14ac:dyDescent="0.35">
      <c r="A51" s="7"/>
      <c r="B51" s="57"/>
      <c r="C51" s="7"/>
      <c r="D51" s="140" t="s">
        <v>133</v>
      </c>
      <c r="E51" s="171">
        <f>IF(D13="YES",D45-D49,0)</f>
        <v>0</v>
      </c>
      <c r="F51" s="75"/>
      <c r="G51" s="7"/>
    </row>
    <row r="52" spans="1:7" ht="15" thickTop="1" x14ac:dyDescent="0.3">
      <c r="A52" s="7"/>
      <c r="B52" s="58"/>
      <c r="C52" s="7"/>
      <c r="D52" s="7"/>
      <c r="E52" s="7"/>
      <c r="F52" s="75"/>
      <c r="G52" s="7"/>
    </row>
    <row r="53" spans="1:7" ht="15" thickBot="1" x14ac:dyDescent="0.35">
      <c r="A53" s="7"/>
      <c r="B53" s="175"/>
      <c r="C53" s="82"/>
      <c r="D53" s="82"/>
      <c r="E53" s="82"/>
      <c r="F53" s="82"/>
      <c r="G53" s="7"/>
    </row>
    <row r="54" spans="1:7" ht="19.2" thickTop="1" thickBot="1" x14ac:dyDescent="0.35">
      <c r="A54" s="7"/>
      <c r="B54" s="7"/>
      <c r="C54" s="7"/>
      <c r="D54" s="94" t="s">
        <v>132</v>
      </c>
      <c r="E54" s="93">
        <f>ROUND(E51,-2)</f>
        <v>0</v>
      </c>
      <c r="F54" s="7"/>
      <c r="G54" s="7"/>
    </row>
    <row r="55" spans="1:7" ht="15" thickTop="1" x14ac:dyDescent="0.3">
      <c r="A55" s="7"/>
      <c r="B55" s="7"/>
      <c r="C55" s="7"/>
      <c r="D55" s="7"/>
      <c r="E55" s="7"/>
      <c r="F55" s="7"/>
      <c r="G55" s="7"/>
    </row>
  </sheetData>
  <mergeCells count="15">
    <mergeCell ref="C46:E46"/>
    <mergeCell ref="C48:E48"/>
    <mergeCell ref="C15:E15"/>
    <mergeCell ref="C26:E26"/>
    <mergeCell ref="C35:E35"/>
    <mergeCell ref="C44:E44"/>
    <mergeCell ref="C20:E20"/>
    <mergeCell ref="D21:E21"/>
    <mergeCell ref="C22:E22"/>
    <mergeCell ref="C12:E12"/>
    <mergeCell ref="C2:E2"/>
    <mergeCell ref="D5:E5"/>
    <mergeCell ref="D6:E6"/>
    <mergeCell ref="D7:E7"/>
    <mergeCell ref="D10:E10"/>
  </mergeCells>
  <conditionalFormatting sqref="B53:E53">
    <cfRule type="expression" dxfId="418" priority="139">
      <formula>"($C$15='NO')"</formula>
    </cfRule>
  </conditionalFormatting>
  <conditionalFormatting sqref="B18:F19 B22:F23 B21:D21 B52:F52 B36:B45 E24:F25 B24:C35 B51:D51 E45 B20 F20:F21 F26:F51">
    <cfRule type="expression" dxfId="417" priority="42">
      <formula>$D$13="NO"</formula>
    </cfRule>
  </conditionalFormatting>
  <conditionalFormatting sqref="D24">
    <cfRule type="expression" dxfId="416" priority="41">
      <formula>$D$13="NO"</formula>
    </cfRule>
  </conditionalFormatting>
  <conditionalFormatting sqref="D25">
    <cfRule type="expression" dxfId="415" priority="39">
      <formula>#REF!="NO"</formula>
    </cfRule>
  </conditionalFormatting>
  <conditionalFormatting sqref="D25">
    <cfRule type="expression" dxfId="414" priority="40">
      <formula>"($C$15='NO')"</formula>
    </cfRule>
  </conditionalFormatting>
  <conditionalFormatting sqref="C36:C42">
    <cfRule type="expression" dxfId="413" priority="35">
      <formula>$D$13="NO"</formula>
    </cfRule>
  </conditionalFormatting>
  <conditionalFormatting sqref="D34:E34">
    <cfRule type="expression" dxfId="412" priority="36">
      <formula>$D$13="NO"</formula>
    </cfRule>
  </conditionalFormatting>
  <conditionalFormatting sqref="C43:C45">
    <cfRule type="expression" dxfId="411" priority="31">
      <formula>$D$13="NO"</formula>
    </cfRule>
  </conditionalFormatting>
  <conditionalFormatting sqref="D43:E43">
    <cfRule type="expression" dxfId="410" priority="30">
      <formula>$D$13="NO"</formula>
    </cfRule>
  </conditionalFormatting>
  <conditionalFormatting sqref="D45">
    <cfRule type="expression" dxfId="409" priority="26">
      <formula>$D$13="NO"</formula>
    </cfRule>
  </conditionalFormatting>
  <conditionalFormatting sqref="E51">
    <cfRule type="expression" dxfId="408" priority="24">
      <formula>#REF!="NO"</formula>
    </cfRule>
  </conditionalFormatting>
  <conditionalFormatting sqref="E51">
    <cfRule type="expression" dxfId="407" priority="25">
      <formula>"($C$15='NO')"</formula>
    </cfRule>
  </conditionalFormatting>
  <conditionalFormatting sqref="D54">
    <cfRule type="expression" dxfId="406" priority="23">
      <formula>#REF!="NO"</formula>
    </cfRule>
  </conditionalFormatting>
  <conditionalFormatting sqref="D54">
    <cfRule type="expression" dxfId="405" priority="22">
      <formula>"($C$15='NO')"</formula>
    </cfRule>
  </conditionalFormatting>
  <conditionalFormatting sqref="E54">
    <cfRule type="expression" dxfId="404" priority="20">
      <formula>#REF!="NO"</formula>
    </cfRule>
  </conditionalFormatting>
  <conditionalFormatting sqref="E54">
    <cfRule type="expression" dxfId="403" priority="21">
      <formula>"($C$15='NO')"</formula>
    </cfRule>
  </conditionalFormatting>
  <conditionalFormatting sqref="H28:J43">
    <cfRule type="expression" dxfId="402" priority="15">
      <formula>$D$13="NO"</formula>
    </cfRule>
  </conditionalFormatting>
  <conditionalFormatting sqref="C20:E20">
    <cfRule type="expression" dxfId="401" priority="12">
      <formula>$D$13="NO"</formula>
    </cfRule>
  </conditionalFormatting>
  <conditionalFormatting sqref="D27:E33">
    <cfRule type="expression" dxfId="400" priority="14">
      <formula>$D$13="NO"</formula>
    </cfRule>
  </conditionalFormatting>
  <conditionalFormatting sqref="D36:E36">
    <cfRule type="expression" dxfId="399" priority="13">
      <formula>$D$13="NO"</formula>
    </cfRule>
  </conditionalFormatting>
  <conditionalFormatting sqref="D47">
    <cfRule type="expression" dxfId="398" priority="4">
      <formula>$D$19="NO"</formula>
    </cfRule>
  </conditionalFormatting>
  <conditionalFormatting sqref="B48">
    <cfRule type="expression" dxfId="397" priority="3">
      <formula>$D$19="NO"</formula>
    </cfRule>
  </conditionalFormatting>
  <conditionalFormatting sqref="D49:D50">
    <cfRule type="expression" dxfId="396" priority="1">
      <formula>$D$19="NO"</formula>
    </cfRule>
  </conditionalFormatting>
  <conditionalFormatting sqref="C48">
    <cfRule type="expression" dxfId="395" priority="2">
      <formula>$D$19="NO"</formula>
    </cfRule>
  </conditionalFormatting>
  <conditionalFormatting sqref="B47:C47 E47 E49:E50 B49:C50">
    <cfRule type="expression" dxfId="394" priority="7">
      <formula>$D$19="NO"</formula>
    </cfRule>
  </conditionalFormatting>
  <conditionalFormatting sqref="B46">
    <cfRule type="expression" dxfId="393" priority="6">
      <formula>$D$19="NO"</formula>
    </cfRule>
  </conditionalFormatting>
  <conditionalFormatting sqref="C46">
    <cfRule type="expression" dxfId="392" priority="5">
      <formula>$D$19="NO"</formula>
    </cfRule>
  </conditionalFormatting>
  <dataValidations disablePrompts="1" count="2">
    <dataValidation showInputMessage="1" showErrorMessage="1" promptTitle="Increased Maintenance" sqref="D21:E21"/>
    <dataValidation showInputMessage="1" showErrorMessage="1" sqref="D16"/>
  </dataValidation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pageSetUpPr fitToPage="1"/>
  </sheetPr>
  <dimension ref="A1:I86"/>
  <sheetViews>
    <sheetView view="pageBreakPreview" zoomScale="85" zoomScaleNormal="85" zoomScaleSheetLayoutView="85" workbookViewId="0">
      <selection activeCell="E22" sqref="E22"/>
    </sheetView>
  </sheetViews>
  <sheetFormatPr defaultColWidth="8.88671875" defaultRowHeight="14.4" x14ac:dyDescent="0.3"/>
  <cols>
    <col min="1" max="1" width="1.5546875" style="4" customWidth="1"/>
    <col min="2" max="2" width="12" style="4" customWidth="1"/>
    <col min="3" max="3" width="44.88671875" style="4" customWidth="1"/>
    <col min="4" max="4" width="11.44140625" style="4" customWidth="1"/>
    <col min="5" max="5" width="32.6640625" style="4" bestFit="1" customWidth="1"/>
    <col min="6" max="6" width="1" style="4" customWidth="1"/>
    <col min="7" max="7" width="1.33203125" style="4" customWidth="1"/>
    <col min="8" max="9" width="9.109375" style="4" customWidth="1"/>
    <col min="10" max="16384" width="8.88671875" style="4"/>
  </cols>
  <sheetData>
    <row r="1" spans="1:8" x14ac:dyDescent="0.3">
      <c r="A1" s="7"/>
      <c r="B1" s="7"/>
      <c r="C1" s="277" t="s">
        <v>488</v>
      </c>
      <c r="D1" s="7"/>
      <c r="E1" s="7"/>
      <c r="F1" s="7"/>
      <c r="G1" s="7"/>
    </row>
    <row r="2" spans="1:8" ht="25.8" x14ac:dyDescent="0.3">
      <c r="A2" s="7"/>
      <c r="B2" s="7"/>
      <c r="C2" s="176" t="s">
        <v>69</v>
      </c>
      <c r="D2" s="7"/>
      <c r="E2" s="7"/>
      <c r="F2" s="7"/>
      <c r="G2" s="7"/>
    </row>
    <row r="3" spans="1:8" ht="28.2" customHeight="1" x14ac:dyDescent="0.3">
      <c r="A3" s="7"/>
      <c r="B3" s="7"/>
      <c r="C3" s="377" t="s">
        <v>245</v>
      </c>
      <c r="D3" s="377"/>
      <c r="E3" s="377"/>
      <c r="F3" s="7"/>
      <c r="G3" s="7"/>
    </row>
    <row r="4" spans="1:8" x14ac:dyDescent="0.3">
      <c r="A4" s="7"/>
      <c r="B4" s="7"/>
      <c r="C4" s="7"/>
      <c r="D4" s="7"/>
      <c r="E4" s="7"/>
      <c r="F4" s="7"/>
      <c r="G4" s="7"/>
    </row>
    <row r="5" spans="1:8" x14ac:dyDescent="0.3">
      <c r="A5" s="7"/>
      <c r="B5" s="7"/>
      <c r="C5" s="20" t="s">
        <v>2</v>
      </c>
      <c r="D5" s="321"/>
      <c r="E5" s="321"/>
      <c r="F5" s="7"/>
      <c r="G5" s="7"/>
    </row>
    <row r="6" spans="1:8" x14ac:dyDescent="0.3">
      <c r="A6" s="7"/>
      <c r="B6" s="7"/>
      <c r="C6" s="20" t="s">
        <v>0</v>
      </c>
      <c r="D6" s="321"/>
      <c r="E6" s="321"/>
      <c r="F6" s="7"/>
      <c r="G6" s="7"/>
    </row>
    <row r="7" spans="1:8" x14ac:dyDescent="0.3">
      <c r="A7" s="7"/>
      <c r="B7" s="7"/>
      <c r="C7" s="20" t="s">
        <v>160</v>
      </c>
      <c r="D7" s="321"/>
      <c r="E7" s="321"/>
      <c r="F7" s="7"/>
      <c r="G7" s="7"/>
    </row>
    <row r="8" spans="1:8" x14ac:dyDescent="0.3">
      <c r="A8" s="7"/>
      <c r="B8" s="7"/>
      <c r="C8" s="7"/>
      <c r="D8" s="20"/>
      <c r="E8" s="7"/>
      <c r="F8" s="7"/>
      <c r="G8" s="7"/>
    </row>
    <row r="9" spans="1:8" x14ac:dyDescent="0.3">
      <c r="A9" s="7"/>
      <c r="B9" s="7"/>
      <c r="C9" s="7"/>
      <c r="D9" s="20"/>
      <c r="E9" s="7"/>
      <c r="F9" s="7"/>
      <c r="G9" s="7"/>
    </row>
    <row r="10" spans="1:8" x14ac:dyDescent="0.3">
      <c r="A10" s="7"/>
      <c r="B10" s="50">
        <v>1</v>
      </c>
      <c r="C10" s="19" t="s">
        <v>233</v>
      </c>
      <c r="D10" s="355"/>
      <c r="E10" s="355"/>
      <c r="F10" s="7"/>
      <c r="G10" s="7"/>
    </row>
    <row r="11" spans="1:8" x14ac:dyDescent="0.3">
      <c r="A11" s="7"/>
      <c r="B11" s="50"/>
      <c r="C11" s="19"/>
      <c r="D11" s="8"/>
      <c r="E11" s="7"/>
      <c r="F11" s="7"/>
      <c r="G11" s="7"/>
    </row>
    <row r="12" spans="1:8" x14ac:dyDescent="0.3">
      <c r="A12" s="7"/>
      <c r="B12" s="50">
        <v>2</v>
      </c>
      <c r="C12" s="106" t="s">
        <v>71</v>
      </c>
      <c r="D12" s="365"/>
      <c r="E12" s="365"/>
      <c r="F12" s="7"/>
      <c r="G12" s="7"/>
    </row>
    <row r="13" spans="1:8" x14ac:dyDescent="0.3">
      <c r="A13" s="7"/>
      <c r="B13" s="50"/>
      <c r="C13" s="106"/>
      <c r="D13" s="122"/>
      <c r="E13" s="122"/>
      <c r="F13" s="7"/>
      <c r="G13" s="7"/>
    </row>
    <row r="14" spans="1:8" ht="30.75" customHeight="1" x14ac:dyDescent="0.3">
      <c r="A14" s="7"/>
      <c r="B14" s="50">
        <v>3</v>
      </c>
      <c r="C14" s="317" t="s">
        <v>222</v>
      </c>
      <c r="D14" s="317"/>
      <c r="E14" s="317"/>
      <c r="F14" s="7"/>
      <c r="G14" s="7"/>
      <c r="H14" s="42"/>
    </row>
    <row r="15" spans="1:8" ht="45.75" customHeight="1" x14ac:dyDescent="0.3">
      <c r="A15" s="7"/>
      <c r="B15" s="50"/>
      <c r="C15" s="353"/>
      <c r="D15" s="378"/>
      <c r="E15" s="354"/>
      <c r="F15" s="7"/>
      <c r="G15" s="7"/>
      <c r="H15" s="225"/>
    </row>
    <row r="16" spans="1:8" x14ac:dyDescent="0.3">
      <c r="A16" s="7"/>
      <c r="B16" s="50"/>
      <c r="C16" s="106"/>
      <c r="D16" s="106"/>
      <c r="E16" s="106"/>
      <c r="F16" s="7"/>
      <c r="G16" s="7"/>
      <c r="H16" s="219"/>
    </row>
    <row r="17" spans="1:8" ht="28.95" customHeight="1" x14ac:dyDescent="0.3">
      <c r="B17" s="4">
        <v>4</v>
      </c>
      <c r="C17" s="317" t="s">
        <v>473</v>
      </c>
      <c r="D17" s="317"/>
      <c r="E17" s="317"/>
      <c r="F17" s="106"/>
      <c r="H17" s="220"/>
    </row>
    <row r="18" spans="1:8" ht="14.4" customHeight="1" x14ac:dyDescent="0.3">
      <c r="C18" s="7"/>
      <c r="D18" s="20" t="s">
        <v>440</v>
      </c>
      <c r="E18" s="123"/>
      <c r="H18" s="217"/>
    </row>
    <row r="19" spans="1:8" ht="14.4" customHeight="1" x14ac:dyDescent="0.3">
      <c r="C19" s="7"/>
      <c r="D19" s="20" t="s">
        <v>6</v>
      </c>
      <c r="E19" s="123"/>
      <c r="H19" s="223"/>
    </row>
    <row r="20" spans="1:8" ht="14.4" customHeight="1" x14ac:dyDescent="0.3">
      <c r="C20" s="7"/>
      <c r="D20" s="20" t="s">
        <v>297</v>
      </c>
      <c r="E20" s="123"/>
      <c r="H20" s="223"/>
    </row>
    <row r="21" spans="1:8" ht="14.4" customHeight="1" x14ac:dyDescent="0.3">
      <c r="C21" s="7"/>
      <c r="D21" s="20" t="s">
        <v>441</v>
      </c>
      <c r="E21" s="123"/>
      <c r="H21" s="223"/>
    </row>
    <row r="22" spans="1:8" ht="14.4" customHeight="1" x14ac:dyDescent="0.3">
      <c r="C22" s="7"/>
      <c r="D22" s="20" t="s">
        <v>442</v>
      </c>
      <c r="E22" s="123"/>
      <c r="H22" s="223"/>
    </row>
    <row r="23" spans="1:8" ht="14.4" customHeight="1" x14ac:dyDescent="0.3">
      <c r="C23" s="7"/>
      <c r="D23" s="20" t="s">
        <v>443</v>
      </c>
      <c r="E23" s="123"/>
      <c r="H23" s="223"/>
    </row>
    <row r="24" spans="1:8" ht="17.25" customHeight="1" x14ac:dyDescent="0.3">
      <c r="A24" s="7"/>
      <c r="B24" s="50"/>
      <c r="C24" s="19"/>
      <c r="D24" s="8"/>
      <c r="E24" s="7"/>
      <c r="F24" s="7"/>
      <c r="G24" s="7"/>
      <c r="H24" s="42"/>
    </row>
    <row r="25" spans="1:8" x14ac:dyDescent="0.3">
      <c r="A25" s="7"/>
      <c r="B25" s="50">
        <v>5</v>
      </c>
      <c r="C25" s="317" t="s">
        <v>5</v>
      </c>
      <c r="D25" s="317"/>
      <c r="E25" s="317"/>
      <c r="F25" s="7"/>
      <c r="G25" s="7"/>
      <c r="H25" s="42"/>
    </row>
    <row r="26" spans="1:8" x14ac:dyDescent="0.3">
      <c r="A26" s="7"/>
      <c r="B26" s="7"/>
      <c r="C26" s="20" t="s">
        <v>6</v>
      </c>
      <c r="D26" s="118"/>
      <c r="E26" s="7"/>
      <c r="F26" s="7"/>
      <c r="G26" s="7"/>
      <c r="H26" s="42"/>
    </row>
    <row r="27" spans="1:8" ht="28.8" x14ac:dyDescent="0.3">
      <c r="A27" s="7"/>
      <c r="B27" s="7"/>
      <c r="C27" s="21" t="s">
        <v>9</v>
      </c>
      <c r="D27" s="118"/>
      <c r="E27" s="7"/>
      <c r="F27" s="7"/>
      <c r="G27" s="7"/>
      <c r="H27" s="42"/>
    </row>
    <row r="28" spans="1:8" x14ac:dyDescent="0.3">
      <c r="A28" s="7"/>
      <c r="B28" s="7"/>
      <c r="C28" s="20" t="s">
        <v>7</v>
      </c>
      <c r="D28" s="118"/>
      <c r="E28" s="7"/>
      <c r="F28" s="7"/>
      <c r="G28" s="7"/>
      <c r="H28" s="42"/>
    </row>
    <row r="29" spans="1:8" x14ac:dyDescent="0.3">
      <c r="A29" s="7"/>
      <c r="B29" s="7"/>
      <c r="C29" s="7"/>
      <c r="D29" s="7"/>
      <c r="E29" s="7"/>
      <c r="F29" s="7"/>
      <c r="G29" s="7"/>
      <c r="H29" s="42"/>
    </row>
    <row r="30" spans="1:8" x14ac:dyDescent="0.3">
      <c r="A30" s="7"/>
      <c r="B30" s="7"/>
      <c r="C30" s="7"/>
      <c r="D30" s="7"/>
      <c r="E30" s="7"/>
      <c r="F30" s="7"/>
      <c r="G30" s="7"/>
      <c r="H30" s="42"/>
    </row>
    <row r="31" spans="1:8" x14ac:dyDescent="0.3">
      <c r="A31" s="7"/>
      <c r="B31" s="55" t="s">
        <v>8</v>
      </c>
      <c r="C31" s="82"/>
      <c r="D31" s="82"/>
      <c r="E31" s="82"/>
      <c r="F31" s="100"/>
      <c r="G31" s="7"/>
      <c r="H31" s="42"/>
    </row>
    <row r="32" spans="1:8" x14ac:dyDescent="0.3">
      <c r="A32" s="7"/>
      <c r="B32" s="58"/>
      <c r="C32" s="7"/>
      <c r="D32" s="7"/>
      <c r="E32" s="7"/>
      <c r="F32" s="75"/>
      <c r="G32" s="7"/>
      <c r="H32" s="42"/>
    </row>
    <row r="33" spans="1:8" ht="30.75" customHeight="1" x14ac:dyDescent="0.3">
      <c r="A33" s="7"/>
      <c r="B33" s="56" t="s">
        <v>13</v>
      </c>
      <c r="C33" s="317" t="str">
        <f>IF(D12="Flashing Yellow Arrows","Will the flashing yellow arrows replace a protected only signal (if YES, safety benefits are not expected)?","Is it anticipated that the proposed improvements will increase safety such that an average crash rate at this intersection will be expected?")</f>
        <v>Is it anticipated that the proposed improvements will increase safety such that an average crash rate at this intersection will be expected?</v>
      </c>
      <c r="D33" s="317"/>
      <c r="E33" s="317"/>
      <c r="F33" s="75"/>
      <c r="G33" s="7"/>
      <c r="H33" s="42"/>
    </row>
    <row r="34" spans="1:8" x14ac:dyDescent="0.3">
      <c r="A34" s="7"/>
      <c r="B34" s="57"/>
      <c r="C34" s="7"/>
      <c r="D34" s="353"/>
      <c r="E34" s="354"/>
      <c r="F34" s="75"/>
      <c r="G34" s="7"/>
      <c r="H34" s="42"/>
    </row>
    <row r="35" spans="1:8" x14ac:dyDescent="0.3">
      <c r="A35" s="7"/>
      <c r="B35" s="57"/>
      <c r="C35" s="7"/>
      <c r="D35" s="7"/>
      <c r="E35" s="7"/>
      <c r="F35" s="75"/>
      <c r="G35" s="7"/>
      <c r="H35" s="42"/>
    </row>
    <row r="36" spans="1:8" x14ac:dyDescent="0.3">
      <c r="A36" s="7"/>
      <c r="B36" s="56" t="s">
        <v>47</v>
      </c>
      <c r="C36" s="317" t="str">
        <f>IF(D12="Flashing Yellow Arrows", "How many angle crashes, by type, occurred in the past year at this intersection?", "How many crashes, by type, occurred in the past year at this intersection?")</f>
        <v>How many crashes, by type, occurred in the past year at this intersection?</v>
      </c>
      <c r="D36" s="317"/>
      <c r="E36" s="317"/>
      <c r="F36" s="75"/>
      <c r="G36" s="7"/>
      <c r="H36" s="42"/>
    </row>
    <row r="37" spans="1:8" x14ac:dyDescent="0.3">
      <c r="A37" s="7"/>
      <c r="B37" s="56"/>
      <c r="C37" s="106"/>
      <c r="D37" s="13"/>
      <c r="E37" s="15" t="s">
        <v>81</v>
      </c>
      <c r="F37" s="75"/>
      <c r="G37" s="7"/>
      <c r="H37" s="42"/>
    </row>
    <row r="38" spans="1:8" x14ac:dyDescent="0.3">
      <c r="A38" s="7"/>
      <c r="B38" s="56"/>
      <c r="C38" s="207"/>
      <c r="D38" s="13"/>
      <c r="E38" s="15" t="s">
        <v>86</v>
      </c>
      <c r="F38" s="75"/>
      <c r="G38" s="7"/>
      <c r="H38" s="42"/>
    </row>
    <row r="39" spans="1:8" x14ac:dyDescent="0.3">
      <c r="A39" s="7"/>
      <c r="B39" s="56"/>
      <c r="C39" s="106"/>
      <c r="D39" s="13"/>
      <c r="E39" s="15" t="s">
        <v>85</v>
      </c>
      <c r="F39" s="75"/>
      <c r="G39" s="7"/>
      <c r="H39" s="42"/>
    </row>
    <row r="40" spans="1:8" x14ac:dyDescent="0.3">
      <c r="A40" s="7"/>
      <c r="B40" s="56"/>
      <c r="C40" s="207"/>
      <c r="D40" s="13"/>
      <c r="E40" s="15" t="s">
        <v>87</v>
      </c>
      <c r="F40" s="75"/>
      <c r="G40" s="7"/>
      <c r="H40" s="42"/>
    </row>
    <row r="41" spans="1:8" x14ac:dyDescent="0.3">
      <c r="A41" s="7"/>
      <c r="B41" s="56"/>
      <c r="C41" s="106"/>
      <c r="D41" s="13"/>
      <c r="E41" s="15" t="s">
        <v>83</v>
      </c>
      <c r="F41" s="75"/>
      <c r="G41" s="7"/>
      <c r="H41" s="42"/>
    </row>
    <row r="42" spans="1:8" x14ac:dyDescent="0.3">
      <c r="A42" s="7"/>
      <c r="B42" s="57"/>
      <c r="C42" s="7"/>
      <c r="D42" s="16"/>
      <c r="E42" s="15"/>
      <c r="F42" s="75"/>
      <c r="G42" s="7"/>
      <c r="H42" s="42"/>
    </row>
    <row r="43" spans="1:8" x14ac:dyDescent="0.3">
      <c r="A43" s="7"/>
      <c r="B43" s="56" t="s">
        <v>76</v>
      </c>
      <c r="C43" s="352" t="s">
        <v>89</v>
      </c>
      <c r="D43" s="352"/>
      <c r="E43" s="352"/>
      <c r="F43" s="75"/>
      <c r="G43" s="7"/>
      <c r="H43" s="42"/>
    </row>
    <row r="44" spans="1:8" x14ac:dyDescent="0.3">
      <c r="A44" s="7"/>
      <c r="B44" s="57"/>
      <c r="C44" s="7"/>
      <c r="D44" s="13"/>
      <c r="E44" s="7" t="s">
        <v>90</v>
      </c>
      <c r="F44" s="75"/>
      <c r="G44" s="7"/>
      <c r="H44" s="222"/>
    </row>
    <row r="45" spans="1:8" x14ac:dyDescent="0.3">
      <c r="A45" s="7"/>
      <c r="B45" s="57"/>
      <c r="C45" s="15"/>
      <c r="D45" s="16"/>
      <c r="E45" s="7"/>
      <c r="F45" s="75"/>
      <c r="G45" s="7"/>
      <c r="H45" s="219"/>
    </row>
    <row r="46" spans="1:8" ht="28.2" customHeight="1" x14ac:dyDescent="0.3">
      <c r="A46" s="7"/>
      <c r="B46" s="56" t="s">
        <v>93</v>
      </c>
      <c r="C46" s="317" t="s">
        <v>479</v>
      </c>
      <c r="D46" s="317"/>
      <c r="E46" s="317"/>
      <c r="F46" s="75"/>
      <c r="G46" s="7"/>
      <c r="H46" s="42"/>
    </row>
    <row r="47" spans="1:8" x14ac:dyDescent="0.3">
      <c r="A47" s="7"/>
      <c r="B47" s="57"/>
      <c r="C47" s="7"/>
      <c r="D47" s="353"/>
      <c r="E47" s="354"/>
      <c r="F47" s="75"/>
      <c r="G47" s="7"/>
      <c r="H47" s="222"/>
    </row>
    <row r="48" spans="1:8" ht="15" thickBot="1" x14ac:dyDescent="0.35">
      <c r="A48" s="7"/>
      <c r="B48" s="57"/>
      <c r="C48" s="7"/>
      <c r="D48" s="16"/>
      <c r="E48" s="7"/>
      <c r="F48" s="75"/>
      <c r="G48" s="7"/>
      <c r="H48" s="219"/>
    </row>
    <row r="49" spans="1:9" ht="15.6" thickTop="1" thickBot="1" x14ac:dyDescent="0.35">
      <c r="A49" s="7"/>
      <c r="B49" s="57"/>
      <c r="C49" s="7"/>
      <c r="D49" s="140" t="s">
        <v>84</v>
      </c>
      <c r="E49" s="199" t="str">
        <f>'4 Signal Retro Benefit'!E74</f>
        <v>N/A</v>
      </c>
      <c r="F49" s="75"/>
      <c r="G49" s="7"/>
      <c r="H49" s="42"/>
    </row>
    <row r="50" spans="1:9" ht="15" thickTop="1" x14ac:dyDescent="0.3">
      <c r="A50" s="7"/>
      <c r="B50" s="60"/>
      <c r="C50" s="132"/>
      <c r="D50" s="132"/>
      <c r="E50" s="132"/>
      <c r="F50" s="99"/>
      <c r="G50" s="7"/>
      <c r="H50" s="42"/>
    </row>
    <row r="51" spans="1:9" x14ac:dyDescent="0.3">
      <c r="A51" s="7"/>
      <c r="B51" s="7"/>
      <c r="C51" s="7"/>
      <c r="D51" s="7"/>
      <c r="E51" s="7"/>
      <c r="F51" s="7"/>
      <c r="G51" s="7"/>
      <c r="H51" s="42"/>
    </row>
    <row r="52" spans="1:9" x14ac:dyDescent="0.3">
      <c r="A52" s="7"/>
      <c r="B52" s="188" t="s">
        <v>14</v>
      </c>
      <c r="C52" s="83"/>
      <c r="D52" s="83"/>
      <c r="E52" s="83"/>
      <c r="F52" s="84"/>
      <c r="G52" s="7"/>
      <c r="H52" s="42"/>
    </row>
    <row r="53" spans="1:9" x14ac:dyDescent="0.3">
      <c r="A53" s="7"/>
      <c r="B53" s="189"/>
      <c r="C53" s="15"/>
      <c r="D53" s="15"/>
      <c r="E53" s="15"/>
      <c r="F53" s="68"/>
      <c r="G53" s="7"/>
      <c r="H53" s="42"/>
    </row>
    <row r="54" spans="1:9" ht="45" customHeight="1" x14ac:dyDescent="0.3">
      <c r="A54" s="7"/>
      <c r="B54" s="56" t="s">
        <v>342</v>
      </c>
      <c r="C54" s="317" t="s">
        <v>598</v>
      </c>
      <c r="D54" s="317"/>
      <c r="E54" s="317"/>
      <c r="F54" s="68"/>
      <c r="G54" s="58"/>
      <c r="H54" s="15"/>
      <c r="I54" s="7"/>
    </row>
    <row r="55" spans="1:9" x14ac:dyDescent="0.3">
      <c r="A55" s="7"/>
      <c r="B55" s="57"/>
      <c r="C55" s="7"/>
      <c r="D55" s="105"/>
      <c r="E55" s="7" t="s">
        <v>404</v>
      </c>
      <c r="F55" s="68"/>
      <c r="G55" s="58"/>
      <c r="H55" s="216"/>
      <c r="I55" s="7"/>
    </row>
    <row r="56" spans="1:9" x14ac:dyDescent="0.3">
      <c r="A56" s="7"/>
      <c r="B56" s="57"/>
      <c r="C56" s="7"/>
      <c r="D56" s="7"/>
      <c r="E56" s="7"/>
      <c r="F56" s="68"/>
      <c r="G56" s="58"/>
      <c r="H56" s="15"/>
      <c r="I56" s="7"/>
    </row>
    <row r="57" spans="1:9" ht="30" customHeight="1" x14ac:dyDescent="0.3">
      <c r="A57" s="7"/>
      <c r="B57" s="57" t="s">
        <v>343</v>
      </c>
      <c r="C57" s="317" t="s">
        <v>475</v>
      </c>
      <c r="D57" s="317"/>
      <c r="E57" s="317"/>
      <c r="F57" s="68"/>
      <c r="G57" s="7"/>
      <c r="H57" s="224"/>
      <c r="I57" s="7"/>
    </row>
    <row r="58" spans="1:9" x14ac:dyDescent="0.3">
      <c r="A58" s="7"/>
      <c r="B58" s="57"/>
      <c r="C58" s="7"/>
      <c r="D58" s="123">
        <f>E22</f>
        <v>0</v>
      </c>
      <c r="E58" s="7"/>
      <c r="F58" s="68"/>
      <c r="G58" s="7"/>
      <c r="H58" s="216"/>
      <c r="I58" s="7"/>
    </row>
    <row r="59" spans="1:9" ht="15" thickBot="1" x14ac:dyDescent="0.35">
      <c r="A59" s="7"/>
      <c r="B59" s="57"/>
      <c r="C59" s="7"/>
      <c r="D59" s="7"/>
      <c r="E59" s="7"/>
      <c r="F59" s="68"/>
      <c r="G59" s="7"/>
      <c r="H59" s="42"/>
      <c r="I59" s="7"/>
    </row>
    <row r="60" spans="1:9" ht="15.6" thickTop="1" thickBot="1" x14ac:dyDescent="0.35">
      <c r="A60" s="7"/>
      <c r="B60" s="191"/>
      <c r="C60" s="15"/>
      <c r="D60" s="192" t="s">
        <v>109</v>
      </c>
      <c r="E60" s="200">
        <f>'4 Signal Retro Benefit'!E103</f>
        <v>0</v>
      </c>
      <c r="F60" s="68"/>
      <c r="G60" s="7"/>
      <c r="H60" s="42"/>
      <c r="I60" s="7"/>
    </row>
    <row r="61" spans="1:9" ht="15" thickTop="1" x14ac:dyDescent="0.3">
      <c r="A61" s="7"/>
      <c r="B61" s="193"/>
      <c r="C61" s="70"/>
      <c r="D61" s="70"/>
      <c r="E61" s="70"/>
      <c r="F61" s="71"/>
      <c r="G61" s="7"/>
      <c r="H61" s="42"/>
      <c r="I61" s="7"/>
    </row>
    <row r="62" spans="1:9" x14ac:dyDescent="0.3">
      <c r="A62" s="7"/>
      <c r="B62" s="15"/>
      <c r="C62" s="15"/>
      <c r="D62" s="15"/>
      <c r="E62" s="15"/>
      <c r="F62" s="15"/>
      <c r="G62" s="7"/>
      <c r="H62" s="42"/>
      <c r="I62" s="7"/>
    </row>
    <row r="63" spans="1:9" x14ac:dyDescent="0.3">
      <c r="A63" s="7"/>
      <c r="B63" s="188" t="s">
        <v>24</v>
      </c>
      <c r="C63" s="83"/>
      <c r="D63" s="83"/>
      <c r="E63" s="83"/>
      <c r="F63" s="84"/>
      <c r="G63" s="7"/>
      <c r="H63" s="42"/>
      <c r="I63" s="7"/>
    </row>
    <row r="64" spans="1:9" x14ac:dyDescent="0.3">
      <c r="A64" s="7"/>
      <c r="B64" s="189"/>
      <c r="C64" s="15"/>
      <c r="D64" s="15"/>
      <c r="E64" s="15"/>
      <c r="F64" s="68"/>
      <c r="G64" s="58"/>
      <c r="H64" s="15"/>
      <c r="I64" s="7"/>
    </row>
    <row r="65" spans="1:9" ht="43.5" customHeight="1" x14ac:dyDescent="0.3">
      <c r="A65" s="7"/>
      <c r="B65" s="190" t="s">
        <v>25</v>
      </c>
      <c r="C65" s="360" t="s">
        <v>161</v>
      </c>
      <c r="D65" s="360"/>
      <c r="E65" s="360"/>
      <c r="F65" s="68"/>
      <c r="G65" s="58"/>
      <c r="H65" s="224"/>
      <c r="I65" s="7"/>
    </row>
    <row r="66" spans="1:9" x14ac:dyDescent="0.3">
      <c r="A66" s="7"/>
      <c r="B66" s="191"/>
      <c r="C66" s="15"/>
      <c r="D66" s="369"/>
      <c r="E66" s="370"/>
      <c r="F66" s="68"/>
      <c r="G66" s="58"/>
      <c r="H66" s="216"/>
      <c r="I66" s="7"/>
    </row>
    <row r="67" spans="1:9" ht="30.75" customHeight="1" x14ac:dyDescent="0.3">
      <c r="A67" s="7"/>
      <c r="B67" s="190" t="s">
        <v>110</v>
      </c>
      <c r="C67" s="360" t="s">
        <v>138</v>
      </c>
      <c r="D67" s="360"/>
      <c r="E67" s="360"/>
      <c r="F67" s="68"/>
      <c r="G67" s="7"/>
      <c r="H67" s="42"/>
    </row>
    <row r="68" spans="1:9" x14ac:dyDescent="0.3">
      <c r="A68" s="7"/>
      <c r="B68" s="191"/>
      <c r="C68" s="15"/>
      <c r="D68" s="18"/>
      <c r="E68" s="15" t="s">
        <v>139</v>
      </c>
      <c r="F68" s="68"/>
      <c r="G68" s="7"/>
      <c r="H68" s="42"/>
    </row>
    <row r="69" spans="1:9" x14ac:dyDescent="0.3">
      <c r="A69" s="7"/>
      <c r="B69" s="190" t="s">
        <v>140</v>
      </c>
      <c r="C69" s="15" t="s">
        <v>141</v>
      </c>
      <c r="D69" s="32"/>
      <c r="E69" s="15"/>
      <c r="F69" s="68"/>
      <c r="G69" s="7"/>
      <c r="H69" s="222"/>
    </row>
    <row r="70" spans="1:9" x14ac:dyDescent="0.3">
      <c r="A70" s="7"/>
      <c r="B70" s="190"/>
      <c r="C70" s="15"/>
      <c r="D70" s="12"/>
      <c r="E70" s="15"/>
      <c r="F70" s="68"/>
      <c r="G70" s="7"/>
      <c r="H70" s="222"/>
    </row>
    <row r="71" spans="1:9" x14ac:dyDescent="0.3">
      <c r="A71" s="7"/>
      <c r="B71" s="190" t="s">
        <v>156</v>
      </c>
      <c r="C71" s="15" t="s">
        <v>591</v>
      </c>
      <c r="E71" s="15"/>
      <c r="F71" s="68"/>
      <c r="G71" s="7"/>
      <c r="H71" s="222"/>
    </row>
    <row r="72" spans="1:9" x14ac:dyDescent="0.3">
      <c r="A72" s="7"/>
      <c r="B72" s="190"/>
      <c r="C72" s="15"/>
      <c r="D72" s="32"/>
      <c r="E72" s="15"/>
      <c r="F72" s="68"/>
      <c r="G72" s="7"/>
      <c r="H72" s="222"/>
    </row>
    <row r="73" spans="1:9" ht="15" thickBot="1" x14ac:dyDescent="0.35">
      <c r="A73" s="7"/>
      <c r="B73" s="191"/>
      <c r="C73" s="15"/>
      <c r="D73" s="15"/>
      <c r="E73" s="15"/>
      <c r="F73" s="68"/>
      <c r="G73" s="7"/>
      <c r="H73" s="219"/>
    </row>
    <row r="74" spans="1:9" ht="15.6" thickTop="1" thickBot="1" x14ac:dyDescent="0.35">
      <c r="A74" s="7"/>
      <c r="B74" s="191"/>
      <c r="C74" s="15"/>
      <c r="D74" s="192" t="s">
        <v>133</v>
      </c>
      <c r="E74" s="200">
        <f>'4 Signal Retro Benefit'!E140</f>
        <v>0</v>
      </c>
      <c r="F74" s="68"/>
      <c r="G74" s="7"/>
    </row>
    <row r="75" spans="1:9" ht="15" thickTop="1" x14ac:dyDescent="0.3">
      <c r="A75" s="7"/>
      <c r="B75" s="193"/>
      <c r="C75" s="70"/>
      <c r="D75" s="70"/>
      <c r="E75" s="70"/>
      <c r="F75" s="71"/>
      <c r="G75" s="7"/>
    </row>
    <row r="76" spans="1:9" x14ac:dyDescent="0.3">
      <c r="A76" s="7"/>
      <c r="B76" s="194"/>
      <c r="C76" s="83"/>
      <c r="D76" s="83"/>
      <c r="E76" s="83"/>
      <c r="F76" s="83"/>
      <c r="G76" s="7"/>
    </row>
    <row r="77" spans="1:9" x14ac:dyDescent="0.3">
      <c r="A77" s="7"/>
      <c r="B77" s="188" t="s">
        <v>65</v>
      </c>
      <c r="C77" s="83"/>
      <c r="D77" s="83"/>
      <c r="E77" s="83"/>
      <c r="F77" s="84"/>
      <c r="G77" s="7"/>
    </row>
    <row r="78" spans="1:9" x14ac:dyDescent="0.3">
      <c r="A78" s="7"/>
      <c r="B78" s="189"/>
      <c r="C78" s="15"/>
      <c r="D78" s="15"/>
      <c r="E78" s="15"/>
      <c r="F78" s="68"/>
      <c r="G78" s="7"/>
    </row>
    <row r="79" spans="1:9" x14ac:dyDescent="0.3">
      <c r="A79" s="7"/>
      <c r="B79" s="56" t="s">
        <v>49</v>
      </c>
      <c r="C79" s="352" t="s">
        <v>212</v>
      </c>
      <c r="D79" s="352"/>
      <c r="E79" s="352"/>
      <c r="F79" s="68"/>
      <c r="G79" s="7"/>
    </row>
    <row r="80" spans="1:9" ht="15" thickBot="1" x14ac:dyDescent="0.35">
      <c r="A80" s="7"/>
      <c r="B80" s="191"/>
      <c r="C80" s="15"/>
      <c r="D80" s="15"/>
      <c r="E80" s="15"/>
      <c r="F80" s="68"/>
      <c r="G80" s="7"/>
    </row>
    <row r="81" spans="1:7" ht="15.6" thickTop="1" thickBot="1" x14ac:dyDescent="0.35">
      <c r="A81" s="7"/>
      <c r="B81" s="191"/>
      <c r="C81" s="15"/>
      <c r="D81" s="192" t="s">
        <v>131</v>
      </c>
      <c r="E81" s="201">
        <f>'4 Signal Retro Benefit'!E165</f>
        <v>0</v>
      </c>
      <c r="F81" s="68"/>
      <c r="G81" s="7"/>
    </row>
    <row r="82" spans="1:7" ht="15" thickTop="1" x14ac:dyDescent="0.3">
      <c r="A82" s="7"/>
      <c r="B82" s="195"/>
      <c r="C82" s="70"/>
      <c r="D82" s="196"/>
      <c r="E82" s="160"/>
      <c r="F82" s="71"/>
      <c r="G82" s="7"/>
    </row>
    <row r="83" spans="1:7" ht="15" thickBot="1" x14ac:dyDescent="0.35">
      <c r="A83" s="7"/>
      <c r="B83" s="20"/>
      <c r="C83" s="7"/>
      <c r="D83" s="140"/>
      <c r="E83" s="161"/>
      <c r="F83" s="7"/>
      <c r="G83" s="7"/>
    </row>
    <row r="84" spans="1:7" ht="19.2" thickTop="1" thickBot="1" x14ac:dyDescent="0.35">
      <c r="A84" s="7"/>
      <c r="B84" s="20"/>
      <c r="C84" s="7"/>
      <c r="D84" s="94" t="s">
        <v>132</v>
      </c>
      <c r="E84" s="93">
        <f>'4 Signal Retro Benefit'!E168</f>
        <v>0</v>
      </c>
      <c r="F84" s="7"/>
      <c r="G84" s="7"/>
    </row>
    <row r="85" spans="1:7" ht="19.2" thickTop="1" thickBot="1" x14ac:dyDescent="0.35">
      <c r="A85" s="7"/>
      <c r="B85" s="7"/>
      <c r="C85" s="7"/>
      <c r="D85" s="94" t="s">
        <v>330</v>
      </c>
      <c r="E85" s="96" t="e">
        <f>IF(D12="Monotubes", "N/A",E84/D10)</f>
        <v>#DIV/0!</v>
      </c>
      <c r="F85" s="7"/>
      <c r="G85" s="7"/>
    </row>
    <row r="86" spans="1:7" ht="15" thickTop="1" x14ac:dyDescent="0.3"/>
  </sheetData>
  <mergeCells count="22">
    <mergeCell ref="C79:E79"/>
    <mergeCell ref="C36:E36"/>
    <mergeCell ref="C43:E43"/>
    <mergeCell ref="C54:E54"/>
    <mergeCell ref="C65:E65"/>
    <mergeCell ref="C46:E46"/>
    <mergeCell ref="D47:E47"/>
    <mergeCell ref="D66:E66"/>
    <mergeCell ref="C67:E67"/>
    <mergeCell ref="C57:E57"/>
    <mergeCell ref="C14:E14"/>
    <mergeCell ref="C15:E15"/>
    <mergeCell ref="C25:E25"/>
    <mergeCell ref="C33:E33"/>
    <mergeCell ref="D34:E34"/>
    <mergeCell ref="C17:E17"/>
    <mergeCell ref="C3:E3"/>
    <mergeCell ref="D12:E12"/>
    <mergeCell ref="D5:E5"/>
    <mergeCell ref="D6:E6"/>
    <mergeCell ref="D7:E7"/>
    <mergeCell ref="D10:E10"/>
  </mergeCells>
  <conditionalFormatting sqref="B31:F50">
    <cfRule type="expression" dxfId="391" priority="11">
      <formula>$D$26="NO"</formula>
    </cfRule>
  </conditionalFormatting>
  <conditionalFormatting sqref="B52:F53 B77:F82 B55:F61 B54 F54">
    <cfRule type="expression" dxfId="390" priority="10">
      <formula>$D$27="NO"</formula>
    </cfRule>
  </conditionalFormatting>
  <conditionalFormatting sqref="B63:F75">
    <cfRule type="expression" dxfId="389" priority="9">
      <formula>$D$28="NO"</formula>
    </cfRule>
  </conditionalFormatting>
  <conditionalFormatting sqref="C54:E54">
    <cfRule type="expression" dxfId="388" priority="1">
      <formula>$D$28="NO"</formula>
    </cfRule>
  </conditionalFormatting>
  <dataValidations count="8">
    <dataValidation type="list" allowBlank="1" showInputMessage="1" showErrorMessage="1" promptTitle="Yes.No" sqref="D34:E34">
      <formula1>YES.NO</formula1>
    </dataValidation>
    <dataValidation showInputMessage="1" showErrorMessage="1" promptTitle="Signal Replace Type" sqref="D16:E16"/>
    <dataValidation type="list" showInputMessage="1" showErrorMessage="1" sqref="D26:D28">
      <formula1>YES.NO</formula1>
    </dataValidation>
    <dataValidation type="whole" allowBlank="1" showInputMessage="1" showErrorMessage="1" sqref="D10">
      <formula1>0</formula1>
      <formula2>10000000</formula2>
    </dataValidation>
    <dataValidation type="whole" operator="greaterThanOrEqual" allowBlank="1" showInputMessage="1" showErrorMessage="1" sqref="D55">
      <formula1>0</formula1>
    </dataValidation>
    <dataValidation allowBlank="1" showInputMessage="1" showErrorMessage="1" promptTitle="Urban or Rural" sqref="E37:E41"/>
    <dataValidation allowBlank="1" showInputMessage="1" showErrorMessage="1" promptTitle="Yes.No" sqref="D35"/>
    <dataValidation showInputMessage="1" showErrorMessage="1" sqref="D58"/>
  </dataValidations>
  <pageMargins left="0.7" right="0.7" top="0.75" bottom="0.75" header="0.3" footer="0.3"/>
  <pageSetup scale="86" fitToHeight="0" orientation="portrait" r:id="rId1"/>
  <rowBreaks count="1" manualBreakCount="1">
    <brk id="45" max="6" man="1"/>
  </rowBreaks>
  <ignoredErrors>
    <ignoredError sqref="B11 B15:B16" numberStoredAsText="1"/>
  </ignoredErrors>
  <drawing r:id="rId2"/>
  <extLst>
    <ext xmlns:x14="http://schemas.microsoft.com/office/spreadsheetml/2009/9/main" uri="{CCE6A557-97BC-4b89-ADB6-D9C93CAAB3DF}">
      <x14:dataValidations xmlns:xm="http://schemas.microsoft.com/office/excel/2006/main" count="6">
        <x14:dataValidation type="list" showInputMessage="1" showErrorMessage="1" promptTitle="Increased Maintenance">
          <x14:formula1>
            <xm:f>'drop-downs'!$Y$2:$Y$4</xm:f>
          </x14:formula1>
          <xm:sqref>D66:E66</xm:sqref>
        </x14:dataValidation>
        <x14:dataValidation type="list" showInputMessage="1" showErrorMessage="1" promptTitle="Signal Retrofit Type">
          <x14:formula1>
            <xm:f>'drop-downs'!$AA$2:$AA$5</xm:f>
          </x14:formula1>
          <xm:sqref>D12:E12</xm:sqref>
        </x14:dataValidation>
        <x14:dataValidation type="list" showInputMessage="1" showErrorMessage="1" promptTitle="Region">
          <x14:formula1>
            <xm:f>'drop-downs'!$I$2:$I$7</xm:f>
          </x14:formula1>
          <xm:sqref>D5:E5</xm:sqref>
        </x14:dataValidation>
        <x14:dataValidation type="list" allowBlank="1" showInputMessage="1" showErrorMessage="1" promptTitle="Urban or Rural">
          <x14:formula1>
            <xm:f>'drop-downs'!$W$2:$W$3</xm:f>
          </x14:formula1>
          <xm:sqref>D47:E47</xm:sqref>
        </x14:dataValidation>
        <x14:dataValidation type="list" showInputMessage="1" showErrorMessage="1">
          <x14:formula1>
            <xm:f>'drop-downs'!$AR$2:$AR$4</xm:f>
          </x14:formula1>
          <xm:sqref>E18:E23</xm:sqref>
        </x14:dataValidation>
        <x14:dataValidation type="list" allowBlank="1" showInputMessage="1" showErrorMessage="1">
          <x14:formula1>
            <xm:f>'drop-downs'!$AE$2:$AE$5</xm:f>
          </x14:formula1>
          <xm:sqref>D72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sheetPr>
  <dimension ref="A1:O169"/>
  <sheetViews>
    <sheetView topLeftCell="A121" workbookViewId="0">
      <selection activeCell="E140" sqref="E140"/>
    </sheetView>
  </sheetViews>
  <sheetFormatPr defaultColWidth="8.88671875" defaultRowHeight="14.4" x14ac:dyDescent="0.3"/>
  <cols>
    <col min="1" max="1" width="1.5546875" style="4" customWidth="1"/>
    <col min="2" max="2" width="11.5546875" style="4" customWidth="1"/>
    <col min="3" max="3" width="44.88671875" style="4" customWidth="1"/>
    <col min="4" max="4" width="11.44140625" style="4" customWidth="1"/>
    <col min="5" max="5" width="31.33203125" style="4" customWidth="1"/>
    <col min="6" max="6" width="1" style="4" customWidth="1"/>
    <col min="7" max="7" width="1.33203125" style="4" customWidth="1"/>
    <col min="8" max="8" width="32.44140625" style="4" customWidth="1"/>
    <col min="9" max="9" width="9.109375" style="4" customWidth="1"/>
    <col min="10" max="16384" width="8.88671875" style="4"/>
  </cols>
  <sheetData>
    <row r="1" spans="1:8" x14ac:dyDescent="0.3">
      <c r="A1" s="58"/>
      <c r="B1" s="7"/>
      <c r="C1" s="129" t="s">
        <v>239</v>
      </c>
      <c r="D1" s="7"/>
      <c r="E1" s="7"/>
      <c r="F1" s="7"/>
      <c r="G1" s="7"/>
    </row>
    <row r="2" spans="1:8" ht="25.8" x14ac:dyDescent="0.3">
      <c r="A2" s="58"/>
      <c r="B2" s="7"/>
      <c r="C2" s="371" t="s">
        <v>69</v>
      </c>
      <c r="D2" s="371"/>
      <c r="E2" s="371"/>
      <c r="F2" s="7"/>
      <c r="G2" s="7"/>
    </row>
    <row r="3" spans="1:8" x14ac:dyDescent="0.3">
      <c r="A3" s="58"/>
      <c r="B3" s="7"/>
      <c r="F3" s="7"/>
      <c r="G3" s="7"/>
    </row>
    <row r="4" spans="1:8" x14ac:dyDescent="0.3">
      <c r="A4" s="58"/>
      <c r="B4" s="7"/>
      <c r="C4" s="7"/>
      <c r="D4" s="7"/>
      <c r="E4" s="7"/>
      <c r="F4" s="7"/>
      <c r="G4" s="7"/>
    </row>
    <row r="5" spans="1:8" x14ac:dyDescent="0.3">
      <c r="A5" s="58"/>
      <c r="B5" s="7"/>
      <c r="C5" s="20" t="s">
        <v>2</v>
      </c>
      <c r="D5" s="321">
        <f>'4 Signal Retrofit'!D5:E5</f>
        <v>0</v>
      </c>
      <c r="E5" s="321"/>
      <c r="F5" s="7"/>
      <c r="G5" s="7"/>
    </row>
    <row r="6" spans="1:8" x14ac:dyDescent="0.3">
      <c r="A6" s="58"/>
      <c r="B6" s="7"/>
      <c r="C6" s="20" t="s">
        <v>0</v>
      </c>
      <c r="D6" s="321">
        <f>'4 Signal Retrofit'!D6:E6</f>
        <v>0</v>
      </c>
      <c r="E6" s="321"/>
      <c r="F6" s="7"/>
      <c r="G6" s="7"/>
    </row>
    <row r="7" spans="1:8" x14ac:dyDescent="0.3">
      <c r="A7" s="58"/>
      <c r="B7" s="7"/>
      <c r="C7" s="20" t="s">
        <v>160</v>
      </c>
      <c r="D7" s="321">
        <f>'4 Signal Retrofit'!D7:E7</f>
        <v>0</v>
      </c>
      <c r="E7" s="321"/>
      <c r="F7" s="7"/>
      <c r="G7" s="7"/>
    </row>
    <row r="8" spans="1:8" x14ac:dyDescent="0.3">
      <c r="A8" s="58"/>
      <c r="B8" s="7"/>
      <c r="C8" s="7"/>
      <c r="D8" s="20"/>
      <c r="E8" s="7"/>
      <c r="F8" s="7"/>
      <c r="G8" s="7"/>
    </row>
    <row r="9" spans="1:8" x14ac:dyDescent="0.3">
      <c r="A9" s="58"/>
      <c r="B9" s="7"/>
      <c r="C9" s="7"/>
      <c r="D9" s="20"/>
      <c r="E9" s="7"/>
      <c r="F9" s="7"/>
      <c r="G9" s="7"/>
    </row>
    <row r="10" spans="1:8" x14ac:dyDescent="0.3">
      <c r="A10" s="58"/>
      <c r="B10" s="50">
        <v>1</v>
      </c>
      <c r="C10" s="19" t="s">
        <v>233</v>
      </c>
      <c r="D10" s="355">
        <f>'4 Signal Retrofit'!D10:E10</f>
        <v>0</v>
      </c>
      <c r="E10" s="355"/>
      <c r="F10" s="7"/>
      <c r="G10" s="7"/>
    </row>
    <row r="11" spans="1:8" x14ac:dyDescent="0.3">
      <c r="A11" s="58"/>
      <c r="B11" s="50"/>
      <c r="C11" s="19"/>
      <c r="D11" s="8"/>
      <c r="E11" s="7"/>
      <c r="F11" s="7"/>
      <c r="G11" s="7"/>
    </row>
    <row r="12" spans="1:8" x14ac:dyDescent="0.3">
      <c r="A12" s="58"/>
      <c r="B12" s="50">
        <v>2</v>
      </c>
      <c r="C12" s="106" t="s">
        <v>71</v>
      </c>
      <c r="D12" s="365">
        <f>'4 Signal Retrofit'!D12:E12</f>
        <v>0</v>
      </c>
      <c r="E12" s="365"/>
      <c r="F12" s="7"/>
      <c r="G12" s="7"/>
      <c r="H12" s="42"/>
    </row>
    <row r="13" spans="1:8" ht="24.6" customHeight="1" x14ac:dyDescent="0.3">
      <c r="A13" s="58"/>
      <c r="B13" s="50">
        <v>3</v>
      </c>
      <c r="C13" s="317" t="s">
        <v>185</v>
      </c>
      <c r="D13" s="317"/>
      <c r="E13" s="317"/>
      <c r="F13" s="7"/>
      <c r="G13" s="7"/>
    </row>
    <row r="14" spans="1:8" ht="30.75" customHeight="1" x14ac:dyDescent="0.3">
      <c r="A14" s="58"/>
      <c r="B14" s="50"/>
      <c r="C14" s="353">
        <f>'4 Signal Retrofit'!C15:E15</f>
        <v>0</v>
      </c>
      <c r="D14" s="378"/>
      <c r="E14" s="354"/>
      <c r="F14" s="7"/>
      <c r="G14" s="7"/>
    </row>
    <row r="15" spans="1:8" x14ac:dyDescent="0.3">
      <c r="A15" s="58"/>
      <c r="B15" s="50"/>
      <c r="C15" s="106"/>
      <c r="D15" s="106"/>
      <c r="E15" s="106"/>
      <c r="F15" s="7"/>
      <c r="G15" s="7"/>
    </row>
    <row r="16" spans="1:8" x14ac:dyDescent="0.3">
      <c r="A16" s="58"/>
      <c r="B16" s="50">
        <v>4</v>
      </c>
      <c r="C16" s="317" t="s">
        <v>5</v>
      </c>
      <c r="D16" s="317"/>
      <c r="E16" s="317"/>
      <c r="F16" s="7"/>
      <c r="G16" s="7"/>
    </row>
    <row r="17" spans="1:7" x14ac:dyDescent="0.3">
      <c r="A17" s="58"/>
      <c r="B17" s="7"/>
      <c r="C17" s="20" t="s">
        <v>6</v>
      </c>
      <c r="D17" s="118">
        <f>'4 Signal Retrofit'!D26</f>
        <v>0</v>
      </c>
      <c r="E17" s="7"/>
      <c r="F17" s="7"/>
      <c r="G17" s="7"/>
    </row>
    <row r="18" spans="1:7" ht="28.8" x14ac:dyDescent="0.3">
      <c r="A18" s="58"/>
      <c r="B18" s="7"/>
      <c r="C18" s="21" t="s">
        <v>9</v>
      </c>
      <c r="D18" s="118">
        <f>'4 Signal Retrofit'!D27</f>
        <v>0</v>
      </c>
      <c r="E18" s="7"/>
      <c r="F18" s="7"/>
      <c r="G18" s="7"/>
    </row>
    <row r="19" spans="1:7" x14ac:dyDescent="0.3">
      <c r="A19" s="58"/>
      <c r="B19" s="7"/>
      <c r="C19" s="20" t="s">
        <v>7</v>
      </c>
      <c r="D19" s="118">
        <f>'4 Signal Retrofit'!D28</f>
        <v>0</v>
      </c>
      <c r="E19" s="7"/>
      <c r="F19" s="7"/>
      <c r="G19" s="7"/>
    </row>
    <row r="20" spans="1:7" x14ac:dyDescent="0.3">
      <c r="A20" s="58"/>
      <c r="B20" s="7"/>
      <c r="C20" s="20" t="s">
        <v>20</v>
      </c>
      <c r="D20" s="118">
        <f>D18</f>
        <v>0</v>
      </c>
      <c r="E20" s="7"/>
      <c r="F20" s="7"/>
      <c r="G20" s="7"/>
    </row>
    <row r="21" spans="1:7" x14ac:dyDescent="0.3">
      <c r="A21" s="58"/>
      <c r="B21" s="7"/>
      <c r="C21" s="7"/>
      <c r="D21" s="7"/>
      <c r="E21" s="7"/>
      <c r="F21" s="7"/>
      <c r="G21" s="7"/>
    </row>
    <row r="22" spans="1:7" x14ac:dyDescent="0.3">
      <c r="A22" s="58"/>
      <c r="B22" s="7"/>
      <c r="C22" s="7"/>
      <c r="D22" s="7"/>
      <c r="E22" s="7"/>
      <c r="F22" s="7"/>
      <c r="G22" s="7"/>
    </row>
    <row r="23" spans="1:7" x14ac:dyDescent="0.3">
      <c r="A23" s="58"/>
      <c r="B23" s="55" t="s">
        <v>8</v>
      </c>
      <c r="C23" s="82"/>
      <c r="D23" s="82"/>
      <c r="E23" s="82"/>
      <c r="F23" s="100"/>
      <c r="G23" s="7"/>
    </row>
    <row r="24" spans="1:7" x14ac:dyDescent="0.3">
      <c r="A24" s="58"/>
      <c r="B24" s="58"/>
      <c r="C24" s="7"/>
      <c r="D24" s="7"/>
      <c r="E24" s="7"/>
      <c r="F24" s="75"/>
      <c r="G24" s="7"/>
    </row>
    <row r="25" spans="1:7" ht="28.2" customHeight="1" x14ac:dyDescent="0.3">
      <c r="A25" s="58"/>
      <c r="B25" s="56" t="s">
        <v>13</v>
      </c>
      <c r="C25" s="317" t="str">
        <f>'4 Signal Retrofit'!C33:E33</f>
        <v>Is it anticipated that the proposed improvements will increase safety such that an average crash rate at this intersection will be expected?</v>
      </c>
      <c r="D25" s="317"/>
      <c r="E25" s="317"/>
      <c r="F25" s="75"/>
      <c r="G25" s="7"/>
    </row>
    <row r="26" spans="1:7" x14ac:dyDescent="0.3">
      <c r="A26" s="58"/>
      <c r="B26" s="57"/>
      <c r="C26" s="15"/>
      <c r="D26" s="356">
        <f>'4 Signal Retrofit'!D34:E34</f>
        <v>0</v>
      </c>
      <c r="E26" s="357"/>
      <c r="F26" s="75"/>
      <c r="G26" s="7"/>
    </row>
    <row r="27" spans="1:7" x14ac:dyDescent="0.3">
      <c r="A27" s="58"/>
      <c r="B27" s="57"/>
      <c r="C27" s="15"/>
      <c r="D27" s="113"/>
      <c r="E27" s="113"/>
      <c r="F27" s="75"/>
      <c r="G27" s="7"/>
    </row>
    <row r="28" spans="1:7" x14ac:dyDescent="0.3">
      <c r="A28" s="58"/>
      <c r="B28" s="56" t="s">
        <v>76</v>
      </c>
      <c r="C28" s="360" t="str">
        <f>'4 Signal Retrofit'!C36:E36</f>
        <v>How many crashes, by type, occurred in the past year at this intersection?</v>
      </c>
      <c r="D28" s="360"/>
      <c r="E28" s="360"/>
      <c r="F28" s="75"/>
      <c r="G28" s="7"/>
    </row>
    <row r="29" spans="1:7" x14ac:dyDescent="0.3">
      <c r="A29" s="58"/>
      <c r="B29" s="56"/>
      <c r="C29" s="107"/>
      <c r="D29" s="17">
        <f>'4 Signal Retrofit'!D37</f>
        <v>0</v>
      </c>
      <c r="E29" s="15" t="s">
        <v>81</v>
      </c>
      <c r="F29" s="75"/>
      <c r="G29" s="7"/>
    </row>
    <row r="30" spans="1:7" x14ac:dyDescent="0.3">
      <c r="A30" s="58"/>
      <c r="B30" s="56"/>
      <c r="C30" s="208"/>
      <c r="D30" s="17">
        <f>'4 Signal Retrofit'!D38</f>
        <v>0</v>
      </c>
      <c r="E30" s="15" t="s">
        <v>86</v>
      </c>
      <c r="F30" s="75"/>
      <c r="G30" s="7"/>
    </row>
    <row r="31" spans="1:7" x14ac:dyDescent="0.3">
      <c r="A31" s="58"/>
      <c r="B31" s="56"/>
      <c r="C31" s="107"/>
      <c r="D31" s="17">
        <f>'4 Signal Retrofit'!D39</f>
        <v>0</v>
      </c>
      <c r="E31" s="15" t="s">
        <v>85</v>
      </c>
      <c r="F31" s="75"/>
      <c r="G31" s="7"/>
    </row>
    <row r="32" spans="1:7" x14ac:dyDescent="0.3">
      <c r="A32" s="58"/>
      <c r="B32" s="56"/>
      <c r="C32" s="208"/>
      <c r="D32" s="17">
        <f>'4 Signal Retrofit'!D40</f>
        <v>0</v>
      </c>
      <c r="E32" s="15" t="s">
        <v>87</v>
      </c>
      <c r="F32" s="75"/>
      <c r="G32" s="7"/>
    </row>
    <row r="33" spans="1:7" x14ac:dyDescent="0.3">
      <c r="A33" s="58"/>
      <c r="B33" s="56"/>
      <c r="C33" s="107"/>
      <c r="D33" s="17">
        <f>'4 Signal Retrofit'!D41</f>
        <v>0</v>
      </c>
      <c r="E33" s="15" t="s">
        <v>83</v>
      </c>
      <c r="F33" s="75"/>
      <c r="G33" s="7"/>
    </row>
    <row r="34" spans="1:7" x14ac:dyDescent="0.3">
      <c r="A34" s="58"/>
      <c r="B34" s="57"/>
      <c r="C34" s="15"/>
      <c r="D34" s="16"/>
      <c r="E34" s="15"/>
      <c r="F34" s="75"/>
      <c r="G34" s="7"/>
    </row>
    <row r="35" spans="1:7" x14ac:dyDescent="0.3">
      <c r="A35" s="58"/>
      <c r="B35" s="56" t="s">
        <v>93</v>
      </c>
      <c r="C35" s="352" t="str">
        <f>'4 Signal Retrofit'!C43:E43</f>
        <v>What is the average number of vehicles entering the intersection per year?</v>
      </c>
      <c r="D35" s="352"/>
      <c r="E35" s="352"/>
      <c r="F35" s="75"/>
      <c r="G35" s="7"/>
    </row>
    <row r="36" spans="1:7" x14ac:dyDescent="0.3">
      <c r="A36" s="58"/>
      <c r="B36" s="57"/>
      <c r="C36" s="15"/>
      <c r="D36" s="17">
        <f>'4 Signal Retrofit'!D44</f>
        <v>0</v>
      </c>
      <c r="E36" s="7" t="s">
        <v>90</v>
      </c>
      <c r="F36" s="75"/>
      <c r="G36" s="7"/>
    </row>
    <row r="37" spans="1:7" x14ac:dyDescent="0.3">
      <c r="A37" s="58"/>
      <c r="B37" s="57"/>
      <c r="C37" s="15"/>
      <c r="D37" s="16"/>
      <c r="E37" s="7"/>
      <c r="F37" s="75"/>
      <c r="G37" s="7"/>
    </row>
    <row r="38" spans="1:7" ht="28.2" customHeight="1" x14ac:dyDescent="0.3">
      <c r="A38" s="58"/>
      <c r="B38" s="57" t="str">
        <f>'4 Signal Retrofit'!B46</f>
        <v xml:space="preserve">S4. </v>
      </c>
      <c r="C38" s="360" t="str">
        <f>'4 Signal Retrofit'!C46:E46</f>
        <v>Is this intersection located in an Urban or Rural area (Urban is defined as an incorporated area with a population of 5,000 or greater)?</v>
      </c>
      <c r="D38" s="360"/>
      <c r="E38" s="360"/>
      <c r="F38" s="75"/>
      <c r="G38" s="7"/>
    </row>
    <row r="39" spans="1:7" x14ac:dyDescent="0.3">
      <c r="A39" s="58"/>
      <c r="B39" s="57"/>
      <c r="C39" s="15"/>
      <c r="D39" s="356">
        <f>'4 Signal Retrofit'!D47:E47</f>
        <v>0</v>
      </c>
      <c r="E39" s="357"/>
      <c r="F39" s="75"/>
      <c r="G39" s="7"/>
    </row>
    <row r="40" spans="1:7" x14ac:dyDescent="0.3">
      <c r="A40" s="58"/>
      <c r="B40" s="57"/>
      <c r="C40" s="15"/>
      <c r="D40" s="15"/>
      <c r="E40" s="15"/>
      <c r="F40" s="75"/>
      <c r="G40" s="7"/>
    </row>
    <row r="41" spans="1:7" ht="27.75" customHeight="1" x14ac:dyDescent="0.3">
      <c r="A41" s="58"/>
      <c r="B41" s="56" t="s">
        <v>94</v>
      </c>
      <c r="C41" s="360" t="s">
        <v>88</v>
      </c>
      <c r="D41" s="360"/>
      <c r="E41" s="360"/>
      <c r="F41" s="75"/>
      <c r="G41" s="7"/>
    </row>
    <row r="42" spans="1:7" x14ac:dyDescent="0.3">
      <c r="A42" s="58"/>
      <c r="B42" s="57"/>
      <c r="C42" s="15"/>
      <c r="D42" s="134">
        <f>PARAMETERS!E8</f>
        <v>1513782</v>
      </c>
      <c r="E42" s="15" t="s">
        <v>81</v>
      </c>
      <c r="F42" s="75"/>
      <c r="G42" s="7"/>
    </row>
    <row r="43" spans="1:7" x14ac:dyDescent="0.3">
      <c r="A43" s="58"/>
      <c r="B43" s="57"/>
      <c r="C43" s="15"/>
      <c r="D43" s="134">
        <f>PARAMETERS!E9</f>
        <v>74284.56</v>
      </c>
      <c r="E43" s="15" t="s">
        <v>86</v>
      </c>
      <c r="F43" s="75"/>
      <c r="G43" s="7"/>
    </row>
    <row r="44" spans="1:7" x14ac:dyDescent="0.3">
      <c r="A44" s="58"/>
      <c r="B44" s="57"/>
      <c r="C44" s="15"/>
      <c r="D44" s="134">
        <f>PARAMETERS!E10</f>
        <v>23929.200000000001</v>
      </c>
      <c r="E44" s="15" t="s">
        <v>85</v>
      </c>
      <c r="F44" s="75"/>
      <c r="G44" s="7"/>
    </row>
    <row r="45" spans="1:7" x14ac:dyDescent="0.3">
      <c r="A45" s="58"/>
      <c r="B45" s="57"/>
      <c r="C45" s="15"/>
      <c r="D45" s="134">
        <f>PARAMETERS!E11</f>
        <v>13525.2</v>
      </c>
      <c r="E45" s="15" t="s">
        <v>87</v>
      </c>
      <c r="F45" s="75"/>
      <c r="G45" s="7"/>
    </row>
    <row r="46" spans="1:7" x14ac:dyDescent="0.3">
      <c r="A46" s="58"/>
      <c r="B46" s="57"/>
      <c r="C46" s="15"/>
      <c r="D46" s="134">
        <f>PARAMETERS!E12</f>
        <v>9571.68</v>
      </c>
      <c r="E46" s="15" t="s">
        <v>83</v>
      </c>
      <c r="F46" s="75"/>
      <c r="G46" s="7"/>
    </row>
    <row r="47" spans="1:7" x14ac:dyDescent="0.3">
      <c r="A47" s="58"/>
      <c r="B47" s="57"/>
      <c r="C47" s="15"/>
      <c r="D47" s="15"/>
      <c r="E47" s="15"/>
      <c r="F47" s="75"/>
      <c r="G47" s="7"/>
    </row>
    <row r="48" spans="1:7" x14ac:dyDescent="0.3">
      <c r="A48" s="58"/>
      <c r="B48" s="56" t="s">
        <v>95</v>
      </c>
      <c r="C48" s="361" t="s">
        <v>91</v>
      </c>
      <c r="D48" s="361"/>
      <c r="E48" s="361"/>
      <c r="F48" s="75"/>
      <c r="G48" s="7"/>
    </row>
    <row r="49" spans="1:7" x14ac:dyDescent="0.3">
      <c r="A49" s="58"/>
      <c r="B49" s="57"/>
      <c r="C49" s="15"/>
      <c r="D49" s="135">
        <f>PARAMETERS!E13</f>
        <v>0.96</v>
      </c>
      <c r="E49" s="15" t="s">
        <v>79</v>
      </c>
      <c r="F49" s="75"/>
      <c r="G49" s="7"/>
    </row>
    <row r="50" spans="1:7" x14ac:dyDescent="0.3">
      <c r="A50" s="58"/>
      <c r="B50" s="57"/>
      <c r="C50" s="15"/>
      <c r="D50" s="135">
        <f>PARAMETERS!E14</f>
        <v>1.05</v>
      </c>
      <c r="E50" s="15" t="s">
        <v>78</v>
      </c>
      <c r="F50" s="75"/>
      <c r="G50" s="7"/>
    </row>
    <row r="51" spans="1:7" x14ac:dyDescent="0.3">
      <c r="A51" s="58"/>
      <c r="B51" s="57"/>
      <c r="C51" s="15"/>
      <c r="D51" s="15"/>
      <c r="E51" s="15"/>
      <c r="F51" s="75"/>
      <c r="G51" s="7"/>
    </row>
    <row r="52" spans="1:7" x14ac:dyDescent="0.3">
      <c r="A52" s="58"/>
      <c r="B52" s="56" t="s">
        <v>96</v>
      </c>
      <c r="C52" s="361" t="s">
        <v>122</v>
      </c>
      <c r="D52" s="361"/>
      <c r="E52" s="361"/>
      <c r="F52" s="75"/>
      <c r="G52" s="7"/>
    </row>
    <row r="53" spans="1:7" x14ac:dyDescent="0.3">
      <c r="A53" s="58"/>
      <c r="B53" s="57"/>
      <c r="C53" s="15"/>
      <c r="D53" s="136" t="e">
        <f>(IF($D$39="Rural", $D$49,$D$50))*$D$36*(D29/SUM($D$29:$D$33))</f>
        <v>#DIV/0!</v>
      </c>
      <c r="E53" s="15" t="s">
        <v>81</v>
      </c>
      <c r="F53" s="75"/>
      <c r="G53" s="7"/>
    </row>
    <row r="54" spans="1:7" x14ac:dyDescent="0.3">
      <c r="A54" s="58"/>
      <c r="B54" s="57"/>
      <c r="C54" s="15"/>
      <c r="D54" s="136" t="e">
        <f t="shared" ref="D54:D57" si="0">(IF($D$39="Rural", $D$49,$D$50))*$D$36*(D30/SUM($D$29:$D$33))</f>
        <v>#DIV/0!</v>
      </c>
      <c r="E54" s="15" t="s">
        <v>86</v>
      </c>
      <c r="F54" s="75"/>
      <c r="G54" s="7"/>
    </row>
    <row r="55" spans="1:7" x14ac:dyDescent="0.3">
      <c r="A55" s="58"/>
      <c r="B55" s="57"/>
      <c r="C55" s="15"/>
      <c r="D55" s="136" t="e">
        <f t="shared" si="0"/>
        <v>#DIV/0!</v>
      </c>
      <c r="E55" s="15" t="s">
        <v>85</v>
      </c>
      <c r="F55" s="75"/>
      <c r="G55" s="7"/>
    </row>
    <row r="56" spans="1:7" x14ac:dyDescent="0.3">
      <c r="A56" s="58"/>
      <c r="B56" s="57"/>
      <c r="C56" s="15"/>
      <c r="D56" s="136" t="e">
        <f t="shared" si="0"/>
        <v>#DIV/0!</v>
      </c>
      <c r="E56" s="15" t="s">
        <v>87</v>
      </c>
      <c r="F56" s="75"/>
      <c r="G56" s="7"/>
    </row>
    <row r="57" spans="1:7" x14ac:dyDescent="0.3">
      <c r="A57" s="58"/>
      <c r="B57" s="57"/>
      <c r="C57" s="15"/>
      <c r="D57" s="136" t="e">
        <f t="shared" si="0"/>
        <v>#DIV/0!</v>
      </c>
      <c r="E57" s="15" t="s">
        <v>83</v>
      </c>
      <c r="F57" s="75"/>
      <c r="G57" s="7"/>
    </row>
    <row r="58" spans="1:7" x14ac:dyDescent="0.3">
      <c r="A58" s="58"/>
      <c r="B58" s="57"/>
      <c r="C58" s="15"/>
      <c r="D58" s="137"/>
      <c r="E58" s="15"/>
      <c r="F58" s="75"/>
      <c r="G58" s="7"/>
    </row>
    <row r="59" spans="1:7" ht="45" customHeight="1" x14ac:dyDescent="0.3">
      <c r="A59" s="58"/>
      <c r="B59" s="56" t="s">
        <v>223</v>
      </c>
      <c r="C59" s="360" t="s">
        <v>192</v>
      </c>
      <c r="D59" s="360"/>
      <c r="E59" s="360"/>
      <c r="F59" s="75"/>
      <c r="G59" s="7"/>
    </row>
    <row r="60" spans="1:7" x14ac:dyDescent="0.3">
      <c r="A60" s="58"/>
      <c r="B60" s="57"/>
      <c r="C60" s="15"/>
      <c r="D60" s="138">
        <f>IF(AND($D$12="Flashing Yellow Arrows",$D$26="NO"), (D29-D53)*D42, 0)</f>
        <v>0</v>
      </c>
      <c r="E60" s="15" t="s">
        <v>81</v>
      </c>
      <c r="F60" s="75"/>
      <c r="G60" s="7"/>
    </row>
    <row r="61" spans="1:7" x14ac:dyDescent="0.3">
      <c r="A61" s="58"/>
      <c r="B61" s="57"/>
      <c r="C61" s="15"/>
      <c r="D61" s="138">
        <f t="shared" ref="D61:D64" si="1">IF(AND($D$12="Flashing Yellow Arrows",$D$26="NO"), (D30-D54)*D43, 0)</f>
        <v>0</v>
      </c>
      <c r="E61" s="15"/>
      <c r="F61" s="75"/>
      <c r="G61" s="7"/>
    </row>
    <row r="62" spans="1:7" x14ac:dyDescent="0.3">
      <c r="A62" s="58"/>
      <c r="B62" s="57"/>
      <c r="C62" s="15"/>
      <c r="D62" s="138">
        <f>IF(AND($D$12="Flashing Yellow Arrows",$D$26="NO"), (D31-D55)*D44, 0)</f>
        <v>0</v>
      </c>
      <c r="E62" s="15" t="s">
        <v>82</v>
      </c>
      <c r="F62" s="75"/>
      <c r="G62" s="7"/>
    </row>
    <row r="63" spans="1:7" x14ac:dyDescent="0.3">
      <c r="A63" s="58"/>
      <c r="B63" s="57"/>
      <c r="C63" s="15"/>
      <c r="D63" s="138">
        <f t="shared" si="1"/>
        <v>0</v>
      </c>
      <c r="E63" s="15"/>
      <c r="F63" s="75"/>
      <c r="G63" s="7"/>
    </row>
    <row r="64" spans="1:7" x14ac:dyDescent="0.3">
      <c r="A64" s="58"/>
      <c r="B64" s="57"/>
      <c r="C64" s="15"/>
      <c r="D64" s="138">
        <f t="shared" si="1"/>
        <v>0</v>
      </c>
      <c r="E64" s="15" t="s">
        <v>83</v>
      </c>
      <c r="F64" s="75"/>
      <c r="G64" s="7"/>
    </row>
    <row r="65" spans="1:7" x14ac:dyDescent="0.3">
      <c r="A65" s="58"/>
      <c r="B65" s="57"/>
      <c r="C65" s="15"/>
      <c r="D65" s="15"/>
      <c r="E65" s="15"/>
      <c r="F65" s="75"/>
      <c r="G65" s="7"/>
    </row>
    <row r="66" spans="1:7" x14ac:dyDescent="0.3">
      <c r="A66" s="58"/>
      <c r="B66" s="56" t="s">
        <v>224</v>
      </c>
      <c r="C66" s="361" t="s">
        <v>191</v>
      </c>
      <c r="D66" s="361"/>
      <c r="E66" s="361"/>
      <c r="F66" s="75"/>
      <c r="G66" s="7"/>
    </row>
    <row r="67" spans="1:7" x14ac:dyDescent="0.3">
      <c r="A67" s="58"/>
      <c r="B67" s="57"/>
      <c r="C67" s="15"/>
      <c r="D67" s="138" t="e">
        <f>IF(OR($D$12="Flashing Yellow Arrows",$D$26="NO"), 0,(D29-D53)*D42)</f>
        <v>#DIV/0!</v>
      </c>
      <c r="E67" s="15" t="s">
        <v>81</v>
      </c>
      <c r="F67" s="75"/>
      <c r="G67" s="7"/>
    </row>
    <row r="68" spans="1:7" x14ac:dyDescent="0.3">
      <c r="A68" s="58"/>
      <c r="B68" s="57"/>
      <c r="C68" s="15"/>
      <c r="D68" s="138" t="e">
        <f t="shared" ref="D68:D71" si="2">IF(OR($D$12="Flashing Yellow Arrows",$D$26="NO"), 0,(D30-D54)*D43)</f>
        <v>#DIV/0!</v>
      </c>
      <c r="E68" s="15"/>
      <c r="F68" s="75"/>
      <c r="G68" s="7"/>
    </row>
    <row r="69" spans="1:7" x14ac:dyDescent="0.3">
      <c r="A69" s="58"/>
      <c r="B69" s="57"/>
      <c r="C69" s="15"/>
      <c r="D69" s="138" t="e">
        <f t="shared" si="2"/>
        <v>#DIV/0!</v>
      </c>
      <c r="E69" s="15" t="s">
        <v>82</v>
      </c>
      <c r="F69" s="75"/>
      <c r="G69" s="7"/>
    </row>
    <row r="70" spans="1:7" x14ac:dyDescent="0.3">
      <c r="A70" s="58"/>
      <c r="B70" s="57"/>
      <c r="C70" s="15"/>
      <c r="D70" s="138" t="e">
        <f t="shared" si="2"/>
        <v>#DIV/0!</v>
      </c>
      <c r="E70" s="15"/>
      <c r="F70" s="75"/>
      <c r="G70" s="7"/>
    </row>
    <row r="71" spans="1:7" x14ac:dyDescent="0.3">
      <c r="A71" s="58"/>
      <c r="B71" s="57"/>
      <c r="C71" s="15"/>
      <c r="D71" s="138" t="e">
        <f t="shared" si="2"/>
        <v>#DIV/0!</v>
      </c>
      <c r="E71" s="15" t="s">
        <v>83</v>
      </c>
      <c r="F71" s="75"/>
      <c r="G71" s="7"/>
    </row>
    <row r="72" spans="1:7" x14ac:dyDescent="0.3">
      <c r="A72" s="58"/>
      <c r="B72" s="57"/>
      <c r="C72" s="15"/>
      <c r="D72" s="15"/>
      <c r="E72" s="15"/>
      <c r="F72" s="75"/>
      <c r="G72" s="7"/>
    </row>
    <row r="73" spans="1:7" ht="15" thickBot="1" x14ac:dyDescent="0.35">
      <c r="A73" s="58"/>
      <c r="B73" s="57"/>
      <c r="C73" s="15"/>
      <c r="D73" s="15"/>
      <c r="E73" s="15"/>
      <c r="F73" s="75"/>
      <c r="G73" s="7"/>
    </row>
    <row r="74" spans="1:7" ht="15.6" thickTop="1" thickBot="1" x14ac:dyDescent="0.35">
      <c r="A74" s="58"/>
      <c r="B74" s="57"/>
      <c r="C74" s="15"/>
      <c r="D74" s="140" t="s">
        <v>98</v>
      </c>
      <c r="E74" s="171" t="str">
        <f>IF(OR(D12="Monotubes",D26=0),"N/A",IF(D12="Flashing Yellow Arrows",IF(AND(SUM(D60:D64)&gt;0,D17="YES",D26="NO"),ROUND(SUM(D60:D64),-3),0),IF(AND(SUM(D67:D71)&gt;0,D17="YES"),ROUND(SUM(D67:D71),-3),0)))</f>
        <v>N/A</v>
      </c>
      <c r="F74" s="75"/>
      <c r="G74" s="7"/>
    </row>
    <row r="75" spans="1:7" ht="15" thickTop="1" x14ac:dyDescent="0.3">
      <c r="A75" s="58"/>
      <c r="B75" s="60"/>
      <c r="C75" s="132"/>
      <c r="D75" s="132"/>
      <c r="E75" s="132"/>
      <c r="F75" s="99"/>
      <c r="G75" s="7"/>
    </row>
    <row r="76" spans="1:7" x14ac:dyDescent="0.3">
      <c r="A76" s="7"/>
      <c r="B76" s="7"/>
      <c r="C76" s="7"/>
      <c r="D76" s="7"/>
      <c r="E76" s="7"/>
      <c r="F76" s="7"/>
      <c r="G76" s="7"/>
    </row>
    <row r="77" spans="1:7" x14ac:dyDescent="0.3">
      <c r="B77" s="55" t="s">
        <v>14</v>
      </c>
      <c r="C77" s="82"/>
      <c r="D77" s="82"/>
      <c r="E77" s="82"/>
      <c r="F77" s="100"/>
    </row>
    <row r="78" spans="1:7" x14ac:dyDescent="0.3">
      <c r="B78" s="58"/>
      <c r="C78" s="7"/>
      <c r="D78" s="7"/>
      <c r="E78" s="7"/>
      <c r="F78" s="75"/>
    </row>
    <row r="79" spans="1:7" ht="14.4" customHeight="1" x14ac:dyDescent="0.3">
      <c r="B79" s="56" t="s">
        <v>342</v>
      </c>
      <c r="C79" s="317" t="s">
        <v>445</v>
      </c>
      <c r="D79" s="317"/>
      <c r="E79" s="317"/>
      <c r="F79" s="75"/>
    </row>
    <row r="80" spans="1:7" x14ac:dyDescent="0.3">
      <c r="B80" s="57"/>
      <c r="C80" s="7"/>
      <c r="D80" s="105">
        <f>'4 Signal Retrofit'!D55</f>
        <v>0</v>
      </c>
      <c r="E80" s="7" t="s">
        <v>404</v>
      </c>
      <c r="F80" s="75"/>
    </row>
    <row r="81" spans="1:15" x14ac:dyDescent="0.3">
      <c r="B81" s="57"/>
      <c r="C81" s="7"/>
      <c r="D81" s="7"/>
      <c r="E81" s="7"/>
      <c r="F81" s="75"/>
      <c r="H81" s="42"/>
    </row>
    <row r="82" spans="1:15" x14ac:dyDescent="0.3">
      <c r="B82" s="57" t="s">
        <v>343</v>
      </c>
      <c r="C82" s="317" t="s">
        <v>444</v>
      </c>
      <c r="D82" s="317"/>
      <c r="E82" s="317"/>
      <c r="F82" s="75"/>
      <c r="H82" s="42"/>
    </row>
    <row r="83" spans="1:15" x14ac:dyDescent="0.3">
      <c r="B83" s="57"/>
      <c r="C83" s="7"/>
      <c r="D83" s="123">
        <f>'4 Signal Retrofit'!D58</f>
        <v>0</v>
      </c>
      <c r="E83" s="7"/>
      <c r="F83" s="75"/>
    </row>
    <row r="84" spans="1:15" x14ac:dyDescent="0.3">
      <c r="B84" s="57"/>
      <c r="C84" s="7"/>
      <c r="D84" s="7"/>
      <c r="E84" s="7"/>
      <c r="F84" s="75"/>
    </row>
    <row r="85" spans="1:15" x14ac:dyDescent="0.3">
      <c r="A85" s="7"/>
      <c r="B85" s="57" t="s">
        <v>344</v>
      </c>
      <c r="C85" s="7" t="s">
        <v>417</v>
      </c>
      <c r="D85" s="145">
        <f>IFERROR(VLOOKUP(D83,'drop-downs'!$AR$2:$AS$5,2,0),0)</f>
        <v>0</v>
      </c>
      <c r="E85" s="7" t="s">
        <v>414</v>
      </c>
      <c r="F85" s="75"/>
      <c r="G85" s="7"/>
      <c r="H85" s="42"/>
      <c r="I85" s="42"/>
      <c r="J85" s="42"/>
      <c r="K85" s="42"/>
      <c r="L85" s="42"/>
      <c r="M85" s="42"/>
      <c r="N85" s="42"/>
      <c r="O85" s="42"/>
    </row>
    <row r="86" spans="1:15" x14ac:dyDescent="0.3">
      <c r="A86" s="7"/>
      <c r="B86" s="57"/>
      <c r="C86" s="7"/>
      <c r="D86" s="144"/>
      <c r="E86" s="7"/>
      <c r="F86" s="75"/>
      <c r="G86" s="7"/>
      <c r="H86" s="42"/>
      <c r="I86" s="42"/>
      <c r="J86" s="42"/>
      <c r="K86" s="42"/>
      <c r="L86" s="42"/>
      <c r="M86" s="42"/>
      <c r="N86" s="42"/>
      <c r="O86" s="42"/>
    </row>
    <row r="87" spans="1:15" x14ac:dyDescent="0.3">
      <c r="A87" s="7"/>
      <c r="B87" s="56" t="s">
        <v>345</v>
      </c>
      <c r="C87" s="7" t="s">
        <v>448</v>
      </c>
      <c r="D87" s="146">
        <f>PARAMETERS!J11</f>
        <v>27.2</v>
      </c>
      <c r="E87" s="7" t="s">
        <v>207</v>
      </c>
      <c r="F87" s="75"/>
      <c r="G87" s="7"/>
      <c r="H87" s="42"/>
      <c r="I87" s="42"/>
      <c r="J87" s="42"/>
      <c r="K87" s="42"/>
      <c r="L87" s="42"/>
      <c r="M87" s="42"/>
      <c r="N87" s="42"/>
      <c r="O87" s="42"/>
    </row>
    <row r="88" spans="1:15" x14ac:dyDescent="0.3">
      <c r="A88" s="7"/>
      <c r="B88" s="57"/>
      <c r="C88" s="7"/>
      <c r="D88" s="124"/>
      <c r="F88" s="75"/>
      <c r="G88" s="7"/>
      <c r="H88" s="42"/>
      <c r="I88" s="42"/>
      <c r="J88" s="42"/>
      <c r="K88" s="42"/>
      <c r="L88" s="42"/>
      <c r="M88" s="42"/>
      <c r="N88" s="42"/>
      <c r="O88" s="42"/>
    </row>
    <row r="89" spans="1:15" x14ac:dyDescent="0.3">
      <c r="A89" s="7"/>
      <c r="B89" s="57" t="s">
        <v>346</v>
      </c>
      <c r="C89" s="7" t="s">
        <v>411</v>
      </c>
      <c r="D89" s="145">
        <f>D85-D87/100*D85</f>
        <v>0</v>
      </c>
      <c r="E89" s="7" t="s">
        <v>414</v>
      </c>
      <c r="F89" s="75"/>
      <c r="G89" s="7"/>
      <c r="H89" s="42"/>
      <c r="I89" s="42"/>
      <c r="J89" s="42"/>
      <c r="K89" s="42"/>
      <c r="L89" s="42"/>
      <c r="M89" s="42"/>
      <c r="N89" s="42"/>
      <c r="O89" s="42"/>
    </row>
    <row r="90" spans="1:15" x14ac:dyDescent="0.3">
      <c r="A90" s="7"/>
      <c r="B90" s="57"/>
      <c r="C90" s="7"/>
      <c r="D90" s="144"/>
      <c r="E90" s="7"/>
      <c r="F90" s="75"/>
      <c r="G90" s="7"/>
      <c r="H90" s="42"/>
      <c r="I90" s="42"/>
      <c r="J90" s="42"/>
      <c r="K90" s="42"/>
      <c r="L90" s="42"/>
      <c r="M90" s="42"/>
      <c r="N90" s="42"/>
      <c r="O90" s="42"/>
    </row>
    <row r="91" spans="1:15" x14ac:dyDescent="0.3">
      <c r="A91" s="7"/>
      <c r="B91" s="57" t="s">
        <v>347</v>
      </c>
      <c r="C91" s="7" t="s">
        <v>410</v>
      </c>
      <c r="D91" s="145">
        <f>D85-D89</f>
        <v>0</v>
      </c>
      <c r="E91" s="7" t="s">
        <v>414</v>
      </c>
      <c r="F91" s="75"/>
      <c r="G91" s="7"/>
      <c r="H91" s="42"/>
      <c r="I91" s="42"/>
      <c r="J91" s="42"/>
      <c r="K91" s="42"/>
      <c r="L91" s="42"/>
      <c r="M91" s="42"/>
      <c r="N91" s="42"/>
      <c r="O91" s="42"/>
    </row>
    <row r="92" spans="1:15" x14ac:dyDescent="0.3">
      <c r="A92" s="7"/>
      <c r="B92" s="57"/>
      <c r="C92" s="7"/>
      <c r="D92" s="144"/>
      <c r="E92" s="7"/>
      <c r="F92" s="75"/>
      <c r="G92" s="7"/>
      <c r="H92" s="42"/>
      <c r="I92" s="42"/>
      <c r="J92" s="42"/>
      <c r="K92" s="42"/>
      <c r="L92" s="42"/>
      <c r="M92" s="42"/>
      <c r="N92" s="42"/>
      <c r="O92" s="42"/>
    </row>
    <row r="93" spans="1:15" x14ac:dyDescent="0.3">
      <c r="A93" s="7"/>
      <c r="B93" s="57" t="s">
        <v>406</v>
      </c>
      <c r="C93" s="7" t="s">
        <v>407</v>
      </c>
      <c r="D93" s="145">
        <f>0.1*D80</f>
        <v>0</v>
      </c>
      <c r="E93" s="7" t="s">
        <v>404</v>
      </c>
      <c r="F93" s="75"/>
      <c r="G93" s="7"/>
    </row>
    <row r="94" spans="1:15" x14ac:dyDescent="0.3">
      <c r="A94" s="7"/>
      <c r="B94" s="57"/>
      <c r="C94" s="129" t="s">
        <v>408</v>
      </c>
      <c r="D94" s="144"/>
      <c r="E94" s="7"/>
      <c r="F94" s="75"/>
      <c r="G94" s="7"/>
    </row>
    <row r="95" spans="1:15" x14ac:dyDescent="0.3">
      <c r="B95" s="57"/>
      <c r="C95" s="7"/>
      <c r="D95" s="7"/>
      <c r="E95" s="7"/>
      <c r="F95" s="75"/>
    </row>
    <row r="96" spans="1:15" x14ac:dyDescent="0.3">
      <c r="B96" s="56" t="s">
        <v>99</v>
      </c>
      <c r="C96" s="7" t="s">
        <v>102</v>
      </c>
      <c r="D96" s="135">
        <f>PARAMETERS!J8</f>
        <v>1.59</v>
      </c>
      <c r="E96" s="7" t="s">
        <v>103</v>
      </c>
      <c r="F96" s="75"/>
    </row>
    <row r="97" spans="1:7" x14ac:dyDescent="0.3">
      <c r="B97" s="57"/>
      <c r="C97" s="7"/>
      <c r="D97" s="7"/>
      <c r="E97" s="7"/>
      <c r="F97" s="75"/>
    </row>
    <row r="98" spans="1:7" ht="28.2" customHeight="1" x14ac:dyDescent="0.3">
      <c r="B98" s="56" t="s">
        <v>104</v>
      </c>
      <c r="C98" s="317" t="s">
        <v>447</v>
      </c>
      <c r="D98" s="317"/>
      <c r="E98" s="317"/>
      <c r="F98" s="75"/>
    </row>
    <row r="99" spans="1:7" x14ac:dyDescent="0.3">
      <c r="B99" s="57"/>
      <c r="C99" s="7"/>
      <c r="D99" s="147">
        <f>D91*D93*52*5/(60*60)</f>
        <v>0</v>
      </c>
      <c r="E99" s="7" t="s">
        <v>106</v>
      </c>
      <c r="F99" s="75"/>
    </row>
    <row r="100" spans="1:7" x14ac:dyDescent="0.3">
      <c r="B100" s="57"/>
      <c r="C100" s="7"/>
      <c r="D100" s="7"/>
      <c r="E100" s="7"/>
      <c r="F100" s="75"/>
    </row>
    <row r="101" spans="1:7" x14ac:dyDescent="0.3">
      <c r="B101" s="56" t="s">
        <v>107</v>
      </c>
      <c r="C101" s="7" t="s">
        <v>341</v>
      </c>
      <c r="D101" s="148">
        <f>PARAMETERS!J9</f>
        <v>15.25</v>
      </c>
      <c r="E101" s="7" t="s">
        <v>348</v>
      </c>
      <c r="F101" s="75"/>
    </row>
    <row r="102" spans="1:7" ht="15" thickBot="1" x14ac:dyDescent="0.35">
      <c r="B102" s="56"/>
      <c r="C102" s="7"/>
      <c r="D102" s="7"/>
      <c r="E102" s="7"/>
      <c r="F102" s="75"/>
    </row>
    <row r="103" spans="1:7" ht="15.6" thickTop="1" thickBot="1" x14ac:dyDescent="0.35">
      <c r="B103" s="56"/>
      <c r="C103" s="7"/>
      <c r="D103" s="140" t="s">
        <v>109</v>
      </c>
      <c r="E103" s="171">
        <f>IF(OR(D18="NO",D80="NO",D12="Minor Safety Improvements",D12="Monotubes"),"N/A", ROUND((D101)*D99*D96,-3))</f>
        <v>0</v>
      </c>
      <c r="F103" s="75"/>
    </row>
    <row r="104" spans="1:7" ht="15" thickTop="1" x14ac:dyDescent="0.3">
      <c r="B104" s="60"/>
      <c r="C104" s="132"/>
      <c r="D104" s="132"/>
      <c r="E104" s="132"/>
      <c r="F104" s="99"/>
    </row>
    <row r="106" spans="1:7" x14ac:dyDescent="0.3">
      <c r="A106" s="42"/>
      <c r="B106" s="188" t="s">
        <v>24</v>
      </c>
      <c r="C106" s="82"/>
      <c r="D106" s="82"/>
      <c r="E106" s="82"/>
      <c r="F106" s="100"/>
      <c r="G106" s="7"/>
    </row>
    <row r="107" spans="1:7" x14ac:dyDescent="0.3">
      <c r="A107" s="42"/>
      <c r="B107" s="189"/>
      <c r="C107" s="7"/>
      <c r="D107" s="7"/>
      <c r="E107" s="7"/>
      <c r="F107" s="75"/>
      <c r="G107" s="7"/>
    </row>
    <row r="108" spans="1:7" ht="29.4" customHeight="1" x14ac:dyDescent="0.3">
      <c r="A108" s="42"/>
      <c r="B108" s="190" t="s">
        <v>25</v>
      </c>
      <c r="C108" s="317" t="s">
        <v>161</v>
      </c>
      <c r="D108" s="317"/>
      <c r="E108" s="317"/>
      <c r="F108" s="75"/>
      <c r="G108" s="7"/>
    </row>
    <row r="109" spans="1:7" x14ac:dyDescent="0.3">
      <c r="A109" s="42"/>
      <c r="B109" s="191"/>
      <c r="C109" s="15"/>
      <c r="D109" s="375">
        <f>'4 Signal Retrofit'!D66:E66</f>
        <v>0</v>
      </c>
      <c r="E109" s="376"/>
      <c r="F109" s="75"/>
      <c r="G109" s="7"/>
    </row>
    <row r="110" spans="1:7" x14ac:dyDescent="0.3">
      <c r="A110" s="42"/>
      <c r="B110" s="190" t="s">
        <v>110</v>
      </c>
      <c r="C110" s="360" t="s">
        <v>138</v>
      </c>
      <c r="D110" s="360"/>
      <c r="E110" s="360"/>
      <c r="F110" s="75"/>
      <c r="G110" s="7"/>
    </row>
    <row r="111" spans="1:7" x14ac:dyDescent="0.3">
      <c r="A111" s="42"/>
      <c r="B111" s="191"/>
      <c r="C111" s="15"/>
      <c r="D111" s="31">
        <f>'4 Signal Retrofit'!D68</f>
        <v>0</v>
      </c>
      <c r="E111" s="15" t="s">
        <v>139</v>
      </c>
      <c r="F111" s="75"/>
      <c r="G111" s="7"/>
    </row>
    <row r="112" spans="1:7" x14ac:dyDescent="0.3">
      <c r="A112" s="42"/>
      <c r="B112" s="190" t="s">
        <v>140</v>
      </c>
      <c r="C112" s="15" t="s">
        <v>141</v>
      </c>
      <c r="D112" s="33">
        <f>'4 Signal Retrofit'!D69</f>
        <v>0</v>
      </c>
      <c r="E112" s="15"/>
      <c r="F112" s="75"/>
      <c r="G112" s="7"/>
    </row>
    <row r="113" spans="1:7" x14ac:dyDescent="0.3">
      <c r="A113" s="42"/>
      <c r="B113" s="190"/>
      <c r="C113" s="15"/>
      <c r="D113" s="144"/>
      <c r="E113" s="15"/>
      <c r="F113" s="75"/>
      <c r="G113" s="7"/>
    </row>
    <row r="114" spans="1:7" x14ac:dyDescent="0.3">
      <c r="A114" s="42"/>
      <c r="B114" s="190" t="s">
        <v>142</v>
      </c>
      <c r="C114" s="360" t="s">
        <v>147</v>
      </c>
      <c r="D114" s="360"/>
      <c r="E114" s="360"/>
      <c r="F114" s="75"/>
      <c r="G114" s="7"/>
    </row>
    <row r="115" spans="1:7" ht="28.8" x14ac:dyDescent="0.3">
      <c r="A115" s="42"/>
      <c r="B115" s="190"/>
      <c r="C115" s="38"/>
      <c r="D115" s="34" t="s">
        <v>145</v>
      </c>
      <c r="E115" s="113" t="s">
        <v>143</v>
      </c>
      <c r="F115" s="75"/>
      <c r="G115" s="7"/>
    </row>
    <row r="116" spans="1:7" x14ac:dyDescent="0.3">
      <c r="A116" s="42"/>
      <c r="B116" s="190"/>
      <c r="C116" s="20" t="s">
        <v>27</v>
      </c>
      <c r="D116" s="36">
        <f>D125*3</f>
        <v>633</v>
      </c>
      <c r="E116" s="37">
        <f>E125*3</f>
        <v>3760.4700000000003</v>
      </c>
      <c r="F116" s="75"/>
      <c r="G116" s="7" t="s">
        <v>144</v>
      </c>
    </row>
    <row r="117" spans="1:7" x14ac:dyDescent="0.3">
      <c r="A117" s="42"/>
      <c r="B117" s="190"/>
      <c r="C117" s="20" t="s">
        <v>28</v>
      </c>
      <c r="D117" s="36">
        <f t="shared" ref="D117:E121" si="3">D126*3</f>
        <v>3144</v>
      </c>
      <c r="E117" s="37">
        <f t="shared" si="3"/>
        <v>948.62999999999988</v>
      </c>
      <c r="F117" s="75"/>
      <c r="G117" s="7"/>
    </row>
    <row r="118" spans="1:7" x14ac:dyDescent="0.3">
      <c r="A118" s="42"/>
      <c r="B118" s="190"/>
      <c r="C118" s="20" t="s">
        <v>29</v>
      </c>
      <c r="D118" s="36">
        <f t="shared" si="3"/>
        <v>654</v>
      </c>
      <c r="E118" s="37">
        <f t="shared" si="3"/>
        <v>1446.99</v>
      </c>
      <c r="F118" s="75"/>
      <c r="G118" s="7"/>
    </row>
    <row r="119" spans="1:7" x14ac:dyDescent="0.3">
      <c r="A119" s="42"/>
      <c r="B119" s="190"/>
      <c r="C119" s="20" t="s">
        <v>30</v>
      </c>
      <c r="D119" s="36">
        <f t="shared" si="3"/>
        <v>258</v>
      </c>
      <c r="E119" s="37">
        <f t="shared" si="3"/>
        <v>1310.46</v>
      </c>
      <c r="F119" s="75"/>
      <c r="G119" s="7"/>
    </row>
    <row r="120" spans="1:7" x14ac:dyDescent="0.3">
      <c r="A120" s="42"/>
      <c r="B120" s="190"/>
      <c r="C120" s="20" t="s">
        <v>32</v>
      </c>
      <c r="D120" s="36">
        <f t="shared" si="3"/>
        <v>69</v>
      </c>
      <c r="E120" s="37">
        <f t="shared" si="3"/>
        <v>1333.0500000000002</v>
      </c>
      <c r="F120" s="75"/>
      <c r="G120" s="7"/>
    </row>
    <row r="121" spans="1:7" x14ac:dyDescent="0.3">
      <c r="A121" s="42"/>
      <c r="B121" s="191"/>
      <c r="C121" s="20" t="s">
        <v>31</v>
      </c>
      <c r="D121" s="36">
        <f t="shared" si="3"/>
        <v>312</v>
      </c>
      <c r="E121" s="37">
        <f t="shared" si="3"/>
        <v>2199</v>
      </c>
      <c r="F121" s="75"/>
      <c r="G121" s="7"/>
    </row>
    <row r="122" spans="1:7" x14ac:dyDescent="0.3">
      <c r="A122" s="42"/>
      <c r="B122" s="191"/>
      <c r="C122" s="20"/>
      <c r="D122" s="20"/>
      <c r="E122" s="20"/>
      <c r="F122" s="75"/>
      <c r="G122" s="7"/>
    </row>
    <row r="123" spans="1:7" x14ac:dyDescent="0.3">
      <c r="A123" s="42"/>
      <c r="B123" s="190" t="s">
        <v>146</v>
      </c>
      <c r="C123" s="352" t="s">
        <v>148</v>
      </c>
      <c r="D123" s="352"/>
      <c r="E123" s="352"/>
      <c r="F123" s="75"/>
      <c r="G123" s="7"/>
    </row>
    <row r="124" spans="1:7" ht="43.2" x14ac:dyDescent="0.3">
      <c r="A124" s="42"/>
      <c r="B124" s="190"/>
      <c r="C124" s="38"/>
      <c r="D124" s="34" t="s">
        <v>149</v>
      </c>
      <c r="E124" s="87" t="s">
        <v>590</v>
      </c>
      <c r="F124" s="75"/>
      <c r="G124" s="7"/>
    </row>
    <row r="125" spans="1:7" x14ac:dyDescent="0.3">
      <c r="A125" s="42"/>
      <c r="B125" s="190"/>
      <c r="C125" s="20" t="s">
        <v>27</v>
      </c>
      <c r="D125" s="64">
        <f>VLOOKUP($C125,PARAMETERS!$I$17:$K$22,2,0)</f>
        <v>211</v>
      </c>
      <c r="E125" s="61">
        <f>VLOOKUP($C125,PARAMETERS!$I$17:$K$22,3,0)</f>
        <v>1253.49</v>
      </c>
      <c r="F125" s="75"/>
      <c r="G125" s="7"/>
    </row>
    <row r="126" spans="1:7" x14ac:dyDescent="0.3">
      <c r="A126" s="42"/>
      <c r="B126" s="190"/>
      <c r="C126" s="20" t="s">
        <v>28</v>
      </c>
      <c r="D126" s="64">
        <f>VLOOKUP($C126,PARAMETERS!$I$17:$K$22,2,0)</f>
        <v>1048</v>
      </c>
      <c r="E126" s="61">
        <f>VLOOKUP($C126,PARAMETERS!$I$17:$K$22,3,0)</f>
        <v>316.20999999999998</v>
      </c>
      <c r="F126" s="75"/>
      <c r="G126" s="7"/>
    </row>
    <row r="127" spans="1:7" x14ac:dyDescent="0.3">
      <c r="A127" s="42"/>
      <c r="B127" s="190"/>
      <c r="C127" s="20" t="s">
        <v>29</v>
      </c>
      <c r="D127" s="64">
        <f>VLOOKUP($C127,PARAMETERS!$I$17:$K$22,2,0)</f>
        <v>218</v>
      </c>
      <c r="E127" s="61">
        <f>VLOOKUP($C127,PARAMETERS!$I$17:$K$22,3,0)</f>
        <v>482.33</v>
      </c>
      <c r="F127" s="75"/>
      <c r="G127" s="7"/>
    </row>
    <row r="128" spans="1:7" x14ac:dyDescent="0.3">
      <c r="A128" s="42"/>
      <c r="B128" s="190"/>
      <c r="C128" s="20" t="s">
        <v>30</v>
      </c>
      <c r="D128" s="64">
        <f>VLOOKUP($C128,PARAMETERS!$I$17:$K$22,2,0)</f>
        <v>86</v>
      </c>
      <c r="E128" s="61">
        <f>VLOOKUP($C128,PARAMETERS!$I$17:$K$22,3,0)</f>
        <v>436.82</v>
      </c>
      <c r="F128" s="75"/>
      <c r="G128" s="7"/>
    </row>
    <row r="129" spans="1:7" x14ac:dyDescent="0.3">
      <c r="A129" s="42"/>
      <c r="B129" s="191"/>
      <c r="C129" s="20" t="s">
        <v>32</v>
      </c>
      <c r="D129" s="64">
        <f>VLOOKUP($C129,PARAMETERS!$I$17:$K$22,2,0)</f>
        <v>23</v>
      </c>
      <c r="E129" s="61">
        <f>VLOOKUP($C129,PARAMETERS!$I$17:$K$22,3,0)</f>
        <v>444.35</v>
      </c>
      <c r="F129" s="75"/>
      <c r="G129" s="7"/>
    </row>
    <row r="130" spans="1:7" x14ac:dyDescent="0.3">
      <c r="A130" s="42"/>
      <c r="B130" s="191"/>
      <c r="C130" s="20" t="s">
        <v>31</v>
      </c>
      <c r="D130" s="64">
        <f>VLOOKUP($C130,PARAMETERS!$I$17:$K$22,2,0)</f>
        <v>104</v>
      </c>
      <c r="E130" s="61">
        <f>VLOOKUP($C130,PARAMETERS!$I$17:$K$22,3,0)</f>
        <v>733</v>
      </c>
      <c r="F130" s="75"/>
      <c r="G130" s="7"/>
    </row>
    <row r="131" spans="1:7" x14ac:dyDescent="0.3">
      <c r="A131" s="42"/>
      <c r="B131" s="191"/>
      <c r="C131" s="20"/>
      <c r="D131" s="20"/>
      <c r="E131" s="20"/>
      <c r="F131" s="75"/>
      <c r="G131" s="7"/>
    </row>
    <row r="132" spans="1:7" x14ac:dyDescent="0.3">
      <c r="A132" s="42"/>
      <c r="B132" s="190" t="s">
        <v>150</v>
      </c>
      <c r="C132" s="317" t="s">
        <v>151</v>
      </c>
      <c r="D132" s="317"/>
      <c r="E132" s="317"/>
      <c r="F132" s="75"/>
      <c r="G132" s="7"/>
    </row>
    <row r="133" spans="1:7" x14ac:dyDescent="0.3">
      <c r="A133" s="42"/>
      <c r="B133" s="190"/>
      <c r="C133" s="106"/>
      <c r="D133" s="35" t="str">
        <f>IF(D109="6 months",2*D112,IF(D109="1 year",D112,IF(D109="3 years",D112/3,"-")))</f>
        <v>-</v>
      </c>
      <c r="E133" s="20"/>
      <c r="F133" s="75"/>
      <c r="G133" s="7"/>
    </row>
    <row r="134" spans="1:7" x14ac:dyDescent="0.3">
      <c r="A134" s="42"/>
      <c r="B134" s="190" t="s">
        <v>194</v>
      </c>
      <c r="C134" s="317" t="s">
        <v>591</v>
      </c>
      <c r="D134" s="317"/>
      <c r="E134" s="317"/>
      <c r="F134" s="75"/>
      <c r="G134" s="7"/>
    </row>
    <row r="135" spans="1:7" x14ac:dyDescent="0.3">
      <c r="A135" s="42"/>
      <c r="B135" s="190"/>
      <c r="C135" s="106"/>
      <c r="D135" s="288">
        <f>'4 Signal Retrofit'!D72</f>
        <v>0</v>
      </c>
      <c r="E135" s="20"/>
      <c r="F135" s="75"/>
      <c r="G135" s="7"/>
    </row>
    <row r="136" spans="1:7" x14ac:dyDescent="0.3">
      <c r="A136" s="42"/>
      <c r="B136" s="190" t="s">
        <v>592</v>
      </c>
      <c r="C136" s="317" t="s">
        <v>593</v>
      </c>
      <c r="D136" s="317"/>
      <c r="E136" s="317"/>
      <c r="F136" s="75"/>
      <c r="G136" s="7"/>
    </row>
    <row r="137" spans="1:7" x14ac:dyDescent="0.3">
      <c r="A137" s="42"/>
      <c r="B137" s="190"/>
      <c r="C137" s="285"/>
      <c r="D137" s="35" t="e">
        <f>(1-(VLOOKUP(D135,'drop-downs'!AE2:AF5,2,FALSE))/100)*D133</f>
        <v>#N/A</v>
      </c>
      <c r="E137" s="20"/>
      <c r="F137" s="75"/>
      <c r="G137" s="7"/>
    </row>
    <row r="138" spans="1:7" x14ac:dyDescent="0.3">
      <c r="A138" s="42"/>
      <c r="B138" s="190"/>
      <c r="C138" s="285"/>
      <c r="D138" s="287"/>
      <c r="E138" s="20"/>
      <c r="F138" s="75"/>
      <c r="G138" s="7"/>
    </row>
    <row r="139" spans="1:7" ht="15" thickBot="1" x14ac:dyDescent="0.35">
      <c r="A139" s="42"/>
      <c r="B139" s="191"/>
      <c r="C139" s="20"/>
      <c r="D139" s="20"/>
      <c r="E139" s="20"/>
      <c r="F139" s="75"/>
      <c r="G139" s="7"/>
    </row>
    <row r="140" spans="1:7" ht="15.6" thickTop="1" thickBot="1" x14ac:dyDescent="0.35">
      <c r="A140" s="42"/>
      <c r="B140" s="191"/>
      <c r="C140" s="7"/>
      <c r="D140" s="140" t="s">
        <v>133</v>
      </c>
      <c r="E140" s="171">
        <f>IF(D12="Monotubes","N/A",IF(D19="YES",D133-D137,0))</f>
        <v>0</v>
      </c>
      <c r="F140" s="75"/>
      <c r="G140" s="7"/>
    </row>
    <row r="141" spans="1:7" ht="15" thickTop="1" x14ac:dyDescent="0.3">
      <c r="A141" s="42"/>
      <c r="B141" s="189"/>
      <c r="C141" s="7"/>
      <c r="D141" s="7"/>
      <c r="E141" s="7"/>
      <c r="F141" s="75"/>
      <c r="G141" s="7"/>
    </row>
    <row r="142" spans="1:7" x14ac:dyDescent="0.3">
      <c r="B142" s="175"/>
      <c r="C142" s="82"/>
      <c r="D142" s="82"/>
      <c r="E142" s="82"/>
      <c r="F142" s="82"/>
      <c r="G142" s="7"/>
    </row>
    <row r="143" spans="1:7" x14ac:dyDescent="0.3">
      <c r="B143" s="55" t="s">
        <v>65</v>
      </c>
      <c r="C143" s="82"/>
      <c r="D143" s="82"/>
      <c r="E143" s="82"/>
      <c r="F143" s="100"/>
      <c r="G143" s="7"/>
    </row>
    <row r="144" spans="1:7" x14ac:dyDescent="0.3">
      <c r="B144" s="58"/>
      <c r="C144" s="7"/>
      <c r="D144" s="7"/>
      <c r="E144" s="7"/>
      <c r="F144" s="75"/>
      <c r="G144" s="7"/>
    </row>
    <row r="145" spans="2:7" ht="29.4" customHeight="1" x14ac:dyDescent="0.3">
      <c r="B145" s="57" t="s">
        <v>49</v>
      </c>
      <c r="C145" s="317" t="s">
        <v>105</v>
      </c>
      <c r="D145" s="317"/>
      <c r="E145" s="317"/>
      <c r="F145" s="75"/>
      <c r="G145" s="7"/>
    </row>
    <row r="146" spans="2:7" x14ac:dyDescent="0.3">
      <c r="B146" s="57"/>
      <c r="C146" s="7"/>
      <c r="D146" s="147">
        <f>D99</f>
        <v>0</v>
      </c>
      <c r="E146" s="7" t="s">
        <v>106</v>
      </c>
      <c r="F146" s="75"/>
      <c r="G146" s="7"/>
    </row>
    <row r="147" spans="2:7" x14ac:dyDescent="0.3">
      <c r="B147" s="57"/>
      <c r="C147" s="7"/>
      <c r="D147" s="7"/>
      <c r="E147" s="7"/>
      <c r="F147" s="75"/>
      <c r="G147" s="7"/>
    </row>
    <row r="148" spans="2:7" ht="44.4" customHeight="1" x14ac:dyDescent="0.3">
      <c r="B148" s="57" t="s">
        <v>118</v>
      </c>
      <c r="C148" s="359" t="s">
        <v>179</v>
      </c>
      <c r="D148" s="359"/>
      <c r="E148" s="359"/>
      <c r="F148" s="75"/>
      <c r="G148" s="7"/>
    </row>
    <row r="149" spans="2:7" x14ac:dyDescent="0.3">
      <c r="B149" s="57"/>
      <c r="C149" s="108"/>
      <c r="D149" s="26">
        <f>PARAMETERS!E23</f>
        <v>7.0000000000000007E-2</v>
      </c>
      <c r="E149" s="22" t="s">
        <v>112</v>
      </c>
      <c r="F149" s="75"/>
      <c r="G149" s="7"/>
    </row>
    <row r="150" spans="2:7" x14ac:dyDescent="0.3">
      <c r="B150" s="57"/>
      <c r="C150" s="108"/>
      <c r="D150" s="22"/>
      <c r="E150" s="22"/>
      <c r="F150" s="75"/>
      <c r="G150" s="7"/>
    </row>
    <row r="151" spans="2:7" x14ac:dyDescent="0.3">
      <c r="B151" s="57" t="s">
        <v>119</v>
      </c>
      <c r="C151" s="28" t="s">
        <v>120</v>
      </c>
      <c r="D151" s="27">
        <f>D149*D146*60</f>
        <v>0</v>
      </c>
      <c r="E151" s="22" t="s">
        <v>113</v>
      </c>
      <c r="F151" s="75"/>
      <c r="G151" s="7"/>
    </row>
    <row r="152" spans="2:7" x14ac:dyDescent="0.3">
      <c r="B152" s="57"/>
      <c r="C152" s="28"/>
      <c r="D152" s="22"/>
      <c r="E152" s="22"/>
      <c r="F152" s="75"/>
      <c r="G152" s="7"/>
    </row>
    <row r="153" spans="2:7" x14ac:dyDescent="0.3">
      <c r="B153" s="57" t="s">
        <v>123</v>
      </c>
      <c r="C153" s="29" t="s">
        <v>235</v>
      </c>
      <c r="D153" s="26">
        <f>PARAMETERS!E22</f>
        <v>2.13</v>
      </c>
      <c r="E153" s="22" t="s">
        <v>114</v>
      </c>
      <c r="F153" s="75"/>
      <c r="G153" s="7"/>
    </row>
    <row r="154" spans="2:7" ht="15" thickBot="1" x14ac:dyDescent="0.35">
      <c r="B154" s="58"/>
      <c r="C154" s="29"/>
      <c r="D154" s="22"/>
      <c r="E154" s="22"/>
      <c r="F154" s="75"/>
      <c r="G154" s="7"/>
    </row>
    <row r="155" spans="2:7" ht="15.6" thickTop="1" thickBot="1" x14ac:dyDescent="0.35">
      <c r="B155" s="58"/>
      <c r="C155" s="29"/>
      <c r="D155" s="140" t="s">
        <v>125</v>
      </c>
      <c r="E155" s="141">
        <f>D153*D151</f>
        <v>0</v>
      </c>
      <c r="F155" s="75"/>
      <c r="G155" s="7"/>
    </row>
    <row r="156" spans="2:7" ht="15" thickTop="1" x14ac:dyDescent="0.3">
      <c r="B156" s="58"/>
      <c r="C156" s="25"/>
      <c r="D156" s="23"/>
      <c r="E156" s="23"/>
      <c r="F156" s="75"/>
      <c r="G156" s="7"/>
    </row>
    <row r="157" spans="2:7" ht="28.8" x14ac:dyDescent="0.3">
      <c r="B157" s="57" t="s">
        <v>124</v>
      </c>
      <c r="C157" s="107" t="s">
        <v>180</v>
      </c>
      <c r="D157" s="26">
        <f>PARAMETERS!E24</f>
        <v>8.9200000000000008E-3</v>
      </c>
      <c r="E157" s="15" t="s">
        <v>115</v>
      </c>
      <c r="F157" s="75"/>
      <c r="G157" s="7"/>
    </row>
    <row r="158" spans="2:7" x14ac:dyDescent="0.3">
      <c r="B158" s="57"/>
      <c r="C158" s="107"/>
      <c r="D158" s="24"/>
      <c r="E158" s="15"/>
      <c r="F158" s="75"/>
      <c r="G158" s="7"/>
    </row>
    <row r="159" spans="2:7" ht="28.8" x14ac:dyDescent="0.3">
      <c r="B159" s="57" t="s">
        <v>126</v>
      </c>
      <c r="C159" s="107" t="s">
        <v>129</v>
      </c>
      <c r="D159" s="27">
        <f>D157*D151</f>
        <v>0</v>
      </c>
      <c r="E159" s="15" t="s">
        <v>116</v>
      </c>
      <c r="F159" s="75"/>
      <c r="G159" s="7"/>
    </row>
    <row r="160" spans="2:7" x14ac:dyDescent="0.3">
      <c r="B160" s="57"/>
      <c r="C160" s="107"/>
      <c r="D160" s="24"/>
      <c r="E160" s="15"/>
      <c r="F160" s="75"/>
      <c r="G160" s="7"/>
    </row>
    <row r="161" spans="2:7" x14ac:dyDescent="0.3">
      <c r="B161" s="57" t="s">
        <v>127</v>
      </c>
      <c r="C161" s="30" t="s">
        <v>184</v>
      </c>
      <c r="D161" s="278">
        <f>PARAMETERS!E25</f>
        <v>28.24</v>
      </c>
      <c r="E161" s="7" t="s">
        <v>117</v>
      </c>
      <c r="F161" s="75"/>
      <c r="G161" s="7"/>
    </row>
    <row r="162" spans="2:7" ht="15" thickBot="1" x14ac:dyDescent="0.35">
      <c r="B162" s="58"/>
      <c r="C162" s="22"/>
      <c r="D162" s="22"/>
      <c r="E162" s="22"/>
      <c r="F162" s="75"/>
      <c r="G162" s="7"/>
    </row>
    <row r="163" spans="2:7" ht="15.6" thickTop="1" thickBot="1" x14ac:dyDescent="0.35">
      <c r="B163" s="58"/>
      <c r="C163" s="25"/>
      <c r="D163" s="140" t="s">
        <v>125</v>
      </c>
      <c r="E163" s="141">
        <f>D161*D159</f>
        <v>0</v>
      </c>
      <c r="F163" s="75"/>
      <c r="G163" s="7"/>
    </row>
    <row r="164" spans="2:7" ht="15.6" thickTop="1" thickBot="1" x14ac:dyDescent="0.35">
      <c r="B164" s="58"/>
      <c r="C164" s="25"/>
      <c r="D164" s="140"/>
      <c r="E164" s="23"/>
      <c r="F164" s="75"/>
      <c r="G164" s="7"/>
    </row>
    <row r="165" spans="2:7" ht="15.6" thickTop="1" thickBot="1" x14ac:dyDescent="0.35">
      <c r="B165" s="58"/>
      <c r="C165" s="7"/>
      <c r="D165" s="140" t="s">
        <v>130</v>
      </c>
      <c r="E165" s="171">
        <f>IF(OR(D20="NO",D12="Minor Safety Improvements",D12="Monotubes"),"N/A",E163+E155)</f>
        <v>0</v>
      </c>
      <c r="F165" s="75"/>
      <c r="G165" s="7"/>
    </row>
    <row r="166" spans="2:7" ht="15" thickTop="1" x14ac:dyDescent="0.3">
      <c r="B166" s="60"/>
      <c r="C166" s="132"/>
      <c r="D166" s="132"/>
      <c r="E166" s="132"/>
      <c r="F166" s="99"/>
      <c r="G166" s="7"/>
    </row>
    <row r="167" spans="2:7" ht="15" thickBot="1" x14ac:dyDescent="0.35">
      <c r="B167" s="7"/>
      <c r="C167" s="7"/>
      <c r="D167" s="7"/>
      <c r="E167" s="7"/>
      <c r="F167" s="7"/>
      <c r="G167" s="7"/>
    </row>
    <row r="168" spans="2:7" ht="19.2" thickTop="1" thickBot="1" x14ac:dyDescent="0.35">
      <c r="B168" s="7"/>
      <c r="C168" s="7"/>
      <c r="D168" s="94" t="s">
        <v>132</v>
      </c>
      <c r="E168" s="93">
        <f>IF(D12="Monotubes","Standard Upgrade",ROUND(SUM(E165,E140,E103,E74),-2))</f>
        <v>0</v>
      </c>
      <c r="F168" s="7"/>
      <c r="G168" s="7"/>
    </row>
    <row r="169" spans="2:7" ht="15" thickTop="1" x14ac:dyDescent="0.3">
      <c r="B169" s="7"/>
      <c r="C169" s="7"/>
      <c r="D169" s="7"/>
      <c r="E169" s="7"/>
      <c r="F169" s="7"/>
      <c r="G169" s="7"/>
    </row>
  </sheetData>
  <mergeCells count="33">
    <mergeCell ref="C2:E2"/>
    <mergeCell ref="D5:E5"/>
    <mergeCell ref="D6:E6"/>
    <mergeCell ref="D7:E7"/>
    <mergeCell ref="D12:E12"/>
    <mergeCell ref="C13:E13"/>
    <mergeCell ref="C14:E14"/>
    <mergeCell ref="C16:E16"/>
    <mergeCell ref="D10:E10"/>
    <mergeCell ref="C52:E52"/>
    <mergeCell ref="C25:E25"/>
    <mergeCell ref="D26:E26"/>
    <mergeCell ref="C28:E28"/>
    <mergeCell ref="C35:E35"/>
    <mergeCell ref="C48:E48"/>
    <mergeCell ref="C38:E38"/>
    <mergeCell ref="D39:E39"/>
    <mergeCell ref="C79:E79"/>
    <mergeCell ref="C98:E98"/>
    <mergeCell ref="C108:E108"/>
    <mergeCell ref="D109:E109"/>
    <mergeCell ref="C41:E41"/>
    <mergeCell ref="C59:E59"/>
    <mergeCell ref="C66:E66"/>
    <mergeCell ref="C82:E82"/>
    <mergeCell ref="C145:E145"/>
    <mergeCell ref="C148:E148"/>
    <mergeCell ref="C110:E110"/>
    <mergeCell ref="C114:E114"/>
    <mergeCell ref="C123:E123"/>
    <mergeCell ref="C132:E132"/>
    <mergeCell ref="C134:E134"/>
    <mergeCell ref="C136:E136"/>
  </mergeCells>
  <conditionalFormatting sqref="E28 B145 E34 B27:C34">
    <cfRule type="expression" dxfId="387" priority="172">
      <formula>"($C$15='NO')"</formula>
    </cfRule>
  </conditionalFormatting>
  <conditionalFormatting sqref="E40 E42:E47 E49:E51 E60:E65 E53:E58">
    <cfRule type="expression" dxfId="386" priority="171">
      <formula>"($C$15='NO')"</formula>
    </cfRule>
  </conditionalFormatting>
  <conditionalFormatting sqref="E42:E46">
    <cfRule type="expression" dxfId="385" priority="163">
      <formula>"($C$15='NO')"</formula>
    </cfRule>
  </conditionalFormatting>
  <conditionalFormatting sqref="E44:E45">
    <cfRule type="expression" dxfId="384" priority="161">
      <formula>"($C$15='NO')"</formula>
    </cfRule>
  </conditionalFormatting>
  <conditionalFormatting sqref="E42:E43">
    <cfRule type="expression" dxfId="383" priority="162">
      <formula>"($C$15='NO')"</formula>
    </cfRule>
  </conditionalFormatting>
  <conditionalFormatting sqref="C35">
    <cfRule type="expression" dxfId="382" priority="157">
      <formula>"($C$15='NO')"</formula>
    </cfRule>
  </conditionalFormatting>
  <conditionalFormatting sqref="B28:B33">
    <cfRule type="expression" dxfId="381" priority="169">
      <formula>"($C$15='NO')"</formula>
    </cfRule>
  </conditionalFormatting>
  <conditionalFormatting sqref="E46">
    <cfRule type="expression" dxfId="380" priority="160">
      <formula>"($C$15='NO')"</formula>
    </cfRule>
  </conditionalFormatting>
  <conditionalFormatting sqref="E36:E37">
    <cfRule type="expression" dxfId="379" priority="159">
      <formula>"($C$15='NO')"</formula>
    </cfRule>
  </conditionalFormatting>
  <conditionalFormatting sqref="B23:E24 B74:C74 B35 B36:C65">
    <cfRule type="expression" dxfId="378" priority="174">
      <formula>"($C$15='NO')"</formula>
    </cfRule>
  </conditionalFormatting>
  <conditionalFormatting sqref="B25 B26:C26">
    <cfRule type="expression" dxfId="377" priority="173">
      <formula>"($C$15='NO')"</formula>
    </cfRule>
  </conditionalFormatting>
  <conditionalFormatting sqref="D42:D46 D49:D50">
    <cfRule type="expression" dxfId="376" priority="165">
      <formula>"($C$15='NO')"</formula>
    </cfRule>
  </conditionalFormatting>
  <conditionalFormatting sqref="D51 D53:D58 D60:D64">
    <cfRule type="expression" dxfId="375" priority="153">
      <formula>"($C$15='NO')"</formula>
    </cfRule>
  </conditionalFormatting>
  <conditionalFormatting sqref="E53:E58 E60:E65">
    <cfRule type="expression" dxfId="374" priority="151">
      <formula>"($C$15='NO')"</formula>
    </cfRule>
  </conditionalFormatting>
  <conditionalFormatting sqref="E62:E63">
    <cfRule type="expression" dxfId="373" priority="146">
      <formula>"($C$15='NO')"</formula>
    </cfRule>
  </conditionalFormatting>
  <conditionalFormatting sqref="E60:E61">
    <cfRule type="expression" dxfId="372" priority="147">
      <formula>"($C$15='NO')"</formula>
    </cfRule>
  </conditionalFormatting>
  <conditionalFormatting sqref="E53:E54">
    <cfRule type="expression" dxfId="371" priority="150">
      <formula>"($C$15='NO')"</formula>
    </cfRule>
  </conditionalFormatting>
  <conditionalFormatting sqref="E55:E56">
    <cfRule type="expression" dxfId="370" priority="149">
      <formula>"($C$15='NO')"</formula>
    </cfRule>
  </conditionalFormatting>
  <conditionalFormatting sqref="E74">
    <cfRule type="expression" dxfId="369" priority="142">
      <formula>"($C$15='NO')"</formula>
    </cfRule>
  </conditionalFormatting>
  <conditionalFormatting sqref="D74">
    <cfRule type="expression" dxfId="368" priority="140">
      <formula>"($C$15='NO')"</formula>
    </cfRule>
  </conditionalFormatting>
  <conditionalFormatting sqref="E57:E58 E60:E63">
    <cfRule type="expression" dxfId="367" priority="148">
      <formula>"($C$15='NO')"</formula>
    </cfRule>
  </conditionalFormatting>
  <conditionalFormatting sqref="D40">
    <cfRule type="expression" dxfId="366" priority="139">
      <formula>"($C$15='NO')"</formula>
    </cfRule>
  </conditionalFormatting>
  <conditionalFormatting sqref="D47">
    <cfRule type="expression" dxfId="365" priority="137">
      <formula>"($C$15='NO')"</formula>
    </cfRule>
  </conditionalFormatting>
  <conditionalFormatting sqref="E64:E65">
    <cfRule type="expression" dxfId="364" priority="145">
      <formula>"($C$15='NO')"</formula>
    </cfRule>
  </conditionalFormatting>
  <conditionalFormatting sqref="D65">
    <cfRule type="expression" dxfId="363" priority="135">
      <formula>"($C$15='NO')"</formula>
    </cfRule>
  </conditionalFormatting>
  <conditionalFormatting sqref="E67:E73">
    <cfRule type="expression" dxfId="362" priority="132">
      <formula>"($C$15='NO')"</formula>
    </cfRule>
  </conditionalFormatting>
  <conditionalFormatting sqref="B66:C73">
    <cfRule type="expression" dxfId="361" priority="133">
      <formula>"($C$15='NO')"</formula>
    </cfRule>
  </conditionalFormatting>
  <conditionalFormatting sqref="D67:D71">
    <cfRule type="expression" dxfId="360" priority="131">
      <formula>"($C$15='NO')"</formula>
    </cfRule>
  </conditionalFormatting>
  <conditionalFormatting sqref="E67:E73">
    <cfRule type="expression" dxfId="359" priority="130">
      <formula>"($C$15='NO')"</formula>
    </cfRule>
  </conditionalFormatting>
  <conditionalFormatting sqref="E69:E70">
    <cfRule type="expression" dxfId="358" priority="127">
      <formula>"($C$15='NO')"</formula>
    </cfRule>
  </conditionalFormatting>
  <conditionalFormatting sqref="E67:E68">
    <cfRule type="expression" dxfId="357" priority="128">
      <formula>"($C$15='NO')"</formula>
    </cfRule>
  </conditionalFormatting>
  <conditionalFormatting sqref="E67:E70">
    <cfRule type="expression" dxfId="356" priority="129">
      <formula>"($C$15='NO')"</formula>
    </cfRule>
  </conditionalFormatting>
  <conditionalFormatting sqref="E71:E73">
    <cfRule type="expression" dxfId="355" priority="126">
      <formula>"($C$15='NO')"</formula>
    </cfRule>
  </conditionalFormatting>
  <conditionalFormatting sqref="D72:D73">
    <cfRule type="expression" dxfId="354" priority="122">
      <formula>"($C$15='NO')"</formula>
    </cfRule>
  </conditionalFormatting>
  <conditionalFormatting sqref="B97:F97">
    <cfRule type="expression" dxfId="353" priority="118">
      <formula>$D$18="NO"</formula>
    </cfRule>
  </conditionalFormatting>
  <conditionalFormatting sqref="B97:E97 B98:C98 D99">
    <cfRule type="expression" dxfId="352" priority="120">
      <formula>"($C$15='NO')"</formula>
    </cfRule>
  </conditionalFormatting>
  <conditionalFormatting sqref="B104:F104">
    <cfRule type="expression" dxfId="351" priority="119">
      <formula>$D$18="NO"</formula>
    </cfRule>
  </conditionalFormatting>
  <conditionalFormatting sqref="B98">
    <cfRule type="expression" dxfId="350" priority="107">
      <formula>"($C$15='NO')"</formula>
    </cfRule>
  </conditionalFormatting>
  <conditionalFormatting sqref="D96">
    <cfRule type="expression" dxfId="349" priority="108">
      <formula>$D$18="NO"</formula>
    </cfRule>
  </conditionalFormatting>
  <conditionalFormatting sqref="B77:E78 B96:C96 B99:C100 E99:E100 C102:C103 E102">
    <cfRule type="expression" dxfId="348" priority="117">
      <formula>"($C$15='NO')"</formula>
    </cfRule>
  </conditionalFormatting>
  <conditionalFormatting sqref="B77:F78">
    <cfRule type="expression" dxfId="347" priority="114">
      <formula>$D$18="NO"</formula>
    </cfRule>
  </conditionalFormatting>
  <conditionalFormatting sqref="D96">
    <cfRule type="expression" dxfId="346" priority="109">
      <formula>"($C$15='NO')"</formula>
    </cfRule>
  </conditionalFormatting>
  <conditionalFormatting sqref="B96">
    <cfRule type="expression" dxfId="345" priority="110">
      <formula>"($C$15='NO')"</formula>
    </cfRule>
  </conditionalFormatting>
  <conditionalFormatting sqref="D102">
    <cfRule type="expression" dxfId="344" priority="106">
      <formula>"($C$15='NO')"</formula>
    </cfRule>
  </conditionalFormatting>
  <conditionalFormatting sqref="D102">
    <cfRule type="expression" dxfId="343" priority="105">
      <formula>$D$18="NO"</formula>
    </cfRule>
  </conditionalFormatting>
  <conditionalFormatting sqref="B101:B103">
    <cfRule type="expression" dxfId="342" priority="103">
      <formula>$D$18="NO"</formula>
    </cfRule>
  </conditionalFormatting>
  <conditionalFormatting sqref="B101:B103">
    <cfRule type="expression" dxfId="341" priority="104">
      <formula>"($C$15='NO')"</formula>
    </cfRule>
  </conditionalFormatting>
  <conditionalFormatting sqref="B101:B103">
    <cfRule type="expression" dxfId="340" priority="102">
      <formula>"($C$15='NO')"</formula>
    </cfRule>
  </conditionalFormatting>
  <conditionalFormatting sqref="D100">
    <cfRule type="expression" dxfId="339" priority="101">
      <formula>"($C$15='NO')"</formula>
    </cfRule>
  </conditionalFormatting>
  <conditionalFormatting sqref="D100">
    <cfRule type="expression" dxfId="338" priority="100">
      <formula>$D$18="NO"</formula>
    </cfRule>
  </conditionalFormatting>
  <conditionalFormatting sqref="D103:E103">
    <cfRule type="expression" dxfId="337" priority="98">
      <formula>$D$17="NO"</formula>
    </cfRule>
  </conditionalFormatting>
  <conditionalFormatting sqref="E103">
    <cfRule type="expression" dxfId="336" priority="99">
      <formula>"($C$15='NO')"</formula>
    </cfRule>
  </conditionalFormatting>
  <conditionalFormatting sqref="D103">
    <cfRule type="expression" dxfId="335" priority="97">
      <formula>"($C$15='NO')"</formula>
    </cfRule>
  </conditionalFormatting>
  <conditionalFormatting sqref="D146 D149:E149">
    <cfRule type="expression" dxfId="334" priority="86">
      <formula>"($C$15='NO')"</formula>
    </cfRule>
  </conditionalFormatting>
  <conditionalFormatting sqref="B147:E147 B146:C146 B152:E152 C153 C150:E151 C149 E153">
    <cfRule type="expression" dxfId="333" priority="89">
      <formula>"($C$15='NO')"</formula>
    </cfRule>
  </conditionalFormatting>
  <conditionalFormatting sqref="D164">
    <cfRule type="expression" dxfId="332" priority="85">
      <formula>$D$17="NO"</formula>
    </cfRule>
  </conditionalFormatting>
  <conditionalFormatting sqref="B142:E142">
    <cfRule type="expression" dxfId="331" priority="88">
      <formula>"($C$15='NO')"</formula>
    </cfRule>
  </conditionalFormatting>
  <conditionalFormatting sqref="B143:E144">
    <cfRule type="expression" dxfId="330" priority="87">
      <formula>"($C$15='NO')"</formula>
    </cfRule>
  </conditionalFormatting>
  <conditionalFormatting sqref="C145">
    <cfRule type="expression" dxfId="329" priority="75">
      <formula>$D$18="NO"</formula>
    </cfRule>
  </conditionalFormatting>
  <conditionalFormatting sqref="C145">
    <cfRule type="expression" dxfId="328" priority="76">
      <formula>"($C$15='NO')"</formula>
    </cfRule>
  </conditionalFormatting>
  <conditionalFormatting sqref="E146">
    <cfRule type="expression" dxfId="327" priority="74">
      <formula>"($C$15='NO')"</formula>
    </cfRule>
  </conditionalFormatting>
  <conditionalFormatting sqref="E146">
    <cfRule type="expression" dxfId="326" priority="73">
      <formula>$D$18="NO"</formula>
    </cfRule>
  </conditionalFormatting>
  <conditionalFormatting sqref="D146">
    <cfRule type="expression" dxfId="325" priority="72">
      <formula>$D$18="NO"</formula>
    </cfRule>
  </conditionalFormatting>
  <conditionalFormatting sqref="B148:B150">
    <cfRule type="expression" dxfId="324" priority="71">
      <formula>"($C$15='NO')"</formula>
    </cfRule>
  </conditionalFormatting>
  <conditionalFormatting sqref="B151">
    <cfRule type="expression" dxfId="323" priority="70">
      <formula>"($C$15='NO')"</formula>
    </cfRule>
  </conditionalFormatting>
  <conditionalFormatting sqref="B153">
    <cfRule type="expression" dxfId="322" priority="69">
      <formula>"($C$15='NO')"</formula>
    </cfRule>
  </conditionalFormatting>
  <conditionalFormatting sqref="D155:E155">
    <cfRule type="expression" dxfId="321" priority="67">
      <formula>$D$17="NO"</formula>
    </cfRule>
  </conditionalFormatting>
  <conditionalFormatting sqref="E155">
    <cfRule type="expression" dxfId="320" priority="68">
      <formula>"($C$15='NO')"</formula>
    </cfRule>
  </conditionalFormatting>
  <conditionalFormatting sqref="D155">
    <cfRule type="expression" dxfId="319" priority="66">
      <formula>"($C$15='NO')"</formula>
    </cfRule>
  </conditionalFormatting>
  <conditionalFormatting sqref="B157:B158">
    <cfRule type="expression" dxfId="318" priority="65">
      <formula>"($C$15='NO')"</formula>
    </cfRule>
  </conditionalFormatting>
  <conditionalFormatting sqref="B159:B160">
    <cfRule type="expression" dxfId="317" priority="64">
      <formula>"($C$15='NO')"</formula>
    </cfRule>
  </conditionalFormatting>
  <conditionalFormatting sqref="B161">
    <cfRule type="expression" dxfId="316" priority="63">
      <formula>"($C$15='NO')"</formula>
    </cfRule>
  </conditionalFormatting>
  <conditionalFormatting sqref="D163:E163">
    <cfRule type="expression" dxfId="315" priority="61">
      <formula>$D$17="NO"</formula>
    </cfRule>
  </conditionalFormatting>
  <conditionalFormatting sqref="E163">
    <cfRule type="expression" dxfId="314" priority="62">
      <formula>"($C$15='NO')"</formula>
    </cfRule>
  </conditionalFormatting>
  <conditionalFormatting sqref="D163:D164">
    <cfRule type="expression" dxfId="313" priority="60">
      <formula>"($C$15='NO')"</formula>
    </cfRule>
  </conditionalFormatting>
  <conditionalFormatting sqref="D165:E165">
    <cfRule type="expression" dxfId="312" priority="58">
      <formula>$D$17="NO"</formula>
    </cfRule>
  </conditionalFormatting>
  <conditionalFormatting sqref="E165">
    <cfRule type="expression" dxfId="311" priority="59">
      <formula>"($C$15='NO')"</formula>
    </cfRule>
  </conditionalFormatting>
  <conditionalFormatting sqref="D165">
    <cfRule type="expression" dxfId="310" priority="57">
      <formula>"($C$15='NO')"</formula>
    </cfRule>
  </conditionalFormatting>
  <conditionalFormatting sqref="B106:F107 B110:F111 B109:D109 B141:F141 F114 B124:B133 E112:F113 B112:C123 B140:D140 F116:F140 B108 F108:F109 D115:F115 E124 B135:C135 E133 D139:E139 E135 E137:E138 B137:C139">
    <cfRule type="expression" dxfId="309" priority="56">
      <formula>$D$19="NO"</formula>
    </cfRule>
  </conditionalFormatting>
  <conditionalFormatting sqref="D112">
    <cfRule type="expression" dxfId="308" priority="55">
      <formula>$D$19="NO"</formula>
    </cfRule>
  </conditionalFormatting>
  <conditionalFormatting sqref="D113">
    <cfRule type="expression" dxfId="307" priority="53">
      <formula>$D$18="NO"</formula>
    </cfRule>
  </conditionalFormatting>
  <conditionalFormatting sqref="D113">
    <cfRule type="expression" dxfId="306" priority="54">
      <formula>"($C$15='NO')"</formula>
    </cfRule>
  </conditionalFormatting>
  <conditionalFormatting sqref="D116:D121">
    <cfRule type="expression" dxfId="305" priority="52">
      <formula>$D$19="NO"</formula>
    </cfRule>
  </conditionalFormatting>
  <conditionalFormatting sqref="E116:E121">
    <cfRule type="expression" dxfId="304" priority="51">
      <formula>$D$19="NO"</formula>
    </cfRule>
  </conditionalFormatting>
  <conditionalFormatting sqref="D122:E122">
    <cfRule type="expression" dxfId="303" priority="50">
      <formula>$D$19="NO"</formula>
    </cfRule>
  </conditionalFormatting>
  <conditionalFormatting sqref="C124:C130">
    <cfRule type="expression" dxfId="302" priority="49">
      <formula>$D$19="NO"</formula>
    </cfRule>
  </conditionalFormatting>
  <conditionalFormatting sqref="D124">
    <cfRule type="expression" dxfId="301" priority="48">
      <formula>$D$19="NO"</formula>
    </cfRule>
  </conditionalFormatting>
  <conditionalFormatting sqref="C131:C133">
    <cfRule type="expression" dxfId="300" priority="45">
      <formula>$D$19="NO"</formula>
    </cfRule>
  </conditionalFormatting>
  <conditionalFormatting sqref="D131:E131">
    <cfRule type="expression" dxfId="299" priority="44">
      <formula>$D$19="NO"</formula>
    </cfRule>
  </conditionalFormatting>
  <conditionalFormatting sqref="B134">
    <cfRule type="expression" dxfId="298" priority="43">
      <formula>$D$19="NO"</formula>
    </cfRule>
  </conditionalFormatting>
  <conditionalFormatting sqref="C134">
    <cfRule type="expression" dxfId="297" priority="42">
      <formula>$D$19="NO"</formula>
    </cfRule>
  </conditionalFormatting>
  <conditionalFormatting sqref="D135 D138">
    <cfRule type="expression" dxfId="296" priority="41">
      <formula>$D$19="NO"</formula>
    </cfRule>
  </conditionalFormatting>
  <conditionalFormatting sqref="D133">
    <cfRule type="expression" dxfId="295" priority="40">
      <formula>$D$19="NO"</formula>
    </cfRule>
  </conditionalFormatting>
  <conditionalFormatting sqref="E140">
    <cfRule type="expression" dxfId="294" priority="38">
      <formula>$D$17="NO"</formula>
    </cfRule>
  </conditionalFormatting>
  <conditionalFormatting sqref="E140">
    <cfRule type="expression" dxfId="293" priority="39">
      <formula>"($C$15='NO')"</formula>
    </cfRule>
  </conditionalFormatting>
  <conditionalFormatting sqref="D168">
    <cfRule type="expression" dxfId="292" priority="37">
      <formula>$D$17="NO"</formula>
    </cfRule>
  </conditionalFormatting>
  <conditionalFormatting sqref="D168">
    <cfRule type="expression" dxfId="291" priority="36">
      <formula>"($C$15='NO')"</formula>
    </cfRule>
  </conditionalFormatting>
  <conditionalFormatting sqref="E168">
    <cfRule type="expression" dxfId="290" priority="34">
      <formula>$D$17="NO"</formula>
    </cfRule>
  </conditionalFormatting>
  <conditionalFormatting sqref="E168">
    <cfRule type="expression" dxfId="289" priority="35">
      <formula>"($C$15='NO')"</formula>
    </cfRule>
  </conditionalFormatting>
  <conditionalFormatting sqref="C108:E108">
    <cfRule type="expression" dxfId="288" priority="33">
      <formula>$D$19="NO"</formula>
    </cfRule>
  </conditionalFormatting>
  <conditionalFormatting sqref="C148">
    <cfRule type="expression" dxfId="287" priority="32">
      <formula>"($C$15='NO')"</formula>
    </cfRule>
  </conditionalFormatting>
  <conditionalFormatting sqref="B28">
    <cfRule type="expression" dxfId="286" priority="26">
      <formula>"($C$15='NO')"</formula>
    </cfRule>
  </conditionalFormatting>
  <conditionalFormatting sqref="D153">
    <cfRule type="expression" dxfId="285" priority="23">
      <formula>"($C$15='NO')"</formula>
    </cfRule>
  </conditionalFormatting>
  <conditionalFormatting sqref="C101">
    <cfRule type="expression" dxfId="284" priority="22">
      <formula>#REF!="NO"</formula>
    </cfRule>
  </conditionalFormatting>
  <conditionalFormatting sqref="C101">
    <cfRule type="expression" dxfId="283" priority="21">
      <formula>"($C$15='NO')"</formula>
    </cfRule>
  </conditionalFormatting>
  <conditionalFormatting sqref="D101:E101">
    <cfRule type="expression" dxfId="282" priority="20">
      <formula>"($C$15='NO')"</formula>
    </cfRule>
  </conditionalFormatting>
  <conditionalFormatting sqref="D101:E101">
    <cfRule type="expression" dxfId="281" priority="19">
      <formula>#REF!="NO"</formula>
    </cfRule>
  </conditionalFormatting>
  <conditionalFormatting sqref="B79:E81 B82 B95:E95 B83:E84">
    <cfRule type="expression" dxfId="280" priority="18">
      <formula>$D$22="NO"</formula>
    </cfRule>
  </conditionalFormatting>
  <conditionalFormatting sqref="C82">
    <cfRule type="expression" dxfId="279" priority="17">
      <formula>$D$22="NO"</formula>
    </cfRule>
  </conditionalFormatting>
  <conditionalFormatting sqref="E29:E33">
    <cfRule type="expression" dxfId="278" priority="13">
      <formula>"($C$15='NO')"</formula>
    </cfRule>
  </conditionalFormatting>
  <conditionalFormatting sqref="E31:E32">
    <cfRule type="expression" dxfId="277" priority="10">
      <formula>"($C$15='NO')"</formula>
    </cfRule>
  </conditionalFormatting>
  <conditionalFormatting sqref="E33">
    <cfRule type="expression" dxfId="276" priority="9">
      <formula>"($C$15='NO')"</formula>
    </cfRule>
  </conditionalFormatting>
  <conditionalFormatting sqref="E29:E30">
    <cfRule type="expression" dxfId="275" priority="11">
      <formula>"($C$15='NO')"</formula>
    </cfRule>
  </conditionalFormatting>
  <conditionalFormatting sqref="E29:E33">
    <cfRule type="expression" dxfId="274" priority="12">
      <formula>"($C$15='NO')"</formula>
    </cfRule>
  </conditionalFormatting>
  <conditionalFormatting sqref="E53:E57">
    <cfRule type="expression" dxfId="273" priority="8">
      <formula>"($C$15='NO')"</formula>
    </cfRule>
  </conditionalFormatting>
  <conditionalFormatting sqref="E55:E56">
    <cfRule type="expression" dxfId="272" priority="6">
      <formula>"($C$15='NO')"</formula>
    </cfRule>
  </conditionalFormatting>
  <conditionalFormatting sqref="E53:E54">
    <cfRule type="expression" dxfId="271" priority="7">
      <formula>"($C$15='NO')"</formula>
    </cfRule>
  </conditionalFormatting>
  <conditionalFormatting sqref="E57">
    <cfRule type="expression" dxfId="270" priority="5">
      <formula>"($C$15='NO')"</formula>
    </cfRule>
  </conditionalFormatting>
  <conditionalFormatting sqref="B136">
    <cfRule type="expression" dxfId="269" priority="4">
      <formula>$D$19="NO"</formula>
    </cfRule>
  </conditionalFormatting>
  <conditionalFormatting sqref="D137">
    <cfRule type="expression" dxfId="268" priority="1">
      <formula>$D$19="NO"</formula>
    </cfRule>
  </conditionalFormatting>
  <conditionalFormatting sqref="C136">
    <cfRule type="expression" dxfId="267" priority="2">
      <formula>$D$19="NO"</formula>
    </cfRule>
  </conditionalFormatting>
  <dataValidations disablePrompts="1" count="6">
    <dataValidation showInputMessage="1" showErrorMessage="1" promptTitle="Signal Replace Type" sqref="D15:E15"/>
    <dataValidation showInputMessage="1" showErrorMessage="1" sqref="D17:D20"/>
    <dataValidation allowBlank="1" showInputMessage="1" showErrorMessage="1" promptTitle="Urban or Rural" sqref="D39 E60:E65 E40 E67:E73 E42:E47 E49:E51 D28:E34 C36:C74 C26:E26 D36:D37 E53:E58 C27:C34"/>
    <dataValidation showInputMessage="1" showErrorMessage="1" promptTitle="Increased Maintenance" sqref="D109:E109"/>
    <dataValidation type="whole" operator="greaterThanOrEqual" allowBlank="1" showInputMessage="1" showErrorMessage="1" sqref="D80">
      <formula1>0</formula1>
    </dataValidation>
    <dataValidation allowBlank="1" showInputMessage="1" showErrorMessage="1" promptTitle="Yes.No" sqref="D27"/>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8FD87B20-915A-4434-871C-3E711777417C}">
            <xm:f>'5 Signal Retiming Benefit'!$D$14="NO"</xm:f>
            <x14:dxf>
              <font>
                <color theme="0" tint="-0.24994659260841701"/>
              </font>
              <fill>
                <patternFill>
                  <bgColor theme="0" tint="-0.34998626667073579"/>
                </patternFill>
              </fill>
            </x14:dxf>
          </x14:cfRule>
          <xm:sqref>B85:F86 B89:F94 F88 D87:F87 B88:C88</xm:sqref>
        </x14:conditionalFormatting>
        <x14:conditionalFormatting xmlns:xm="http://schemas.microsoft.com/office/excel/2006/main">
          <x14:cfRule type="expression" priority="15" id="{65FE2FFE-7398-4308-A5F3-C2A02B2DB4F2}">
            <xm:f>'5 Signal Retiming Benefit'!$D$14="NO"</xm:f>
            <x14:dxf>
              <font>
                <color theme="0" tint="-0.24994659260841701"/>
              </font>
              <fill>
                <patternFill>
                  <bgColor theme="0" tint="-0.34998626667073579"/>
                </patternFill>
              </fill>
            </x14:dxf>
          </x14:cfRule>
          <xm:sqref>B87</xm:sqref>
        </x14:conditionalFormatting>
        <x14:conditionalFormatting xmlns:xm="http://schemas.microsoft.com/office/excel/2006/main">
          <x14:cfRule type="expression" priority="14" id="{0CEDC13C-50EE-4A75-9E99-85810E68894E}">
            <xm:f>'5 Signal Retiming Benefit'!$D$14="NO"</xm:f>
            <x14:dxf>
              <font>
                <color theme="0" tint="-0.24994659260841701"/>
              </font>
              <fill>
                <patternFill>
                  <bgColor theme="0" tint="-0.34998626667073579"/>
                </patternFill>
              </fill>
            </x14:dxf>
          </x14:cfRule>
          <xm:sqref>C87</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showInputMessage="1" showErrorMessage="1">
          <x14:formula1>
            <xm:f>'drop-downs'!$AR$2:$AR$5</xm:f>
          </x14:formula1>
          <xm:sqref>D83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92D050"/>
    <pageSetUpPr fitToPage="1"/>
  </sheetPr>
  <dimension ref="A1:I58"/>
  <sheetViews>
    <sheetView view="pageBreakPreview" topLeftCell="A16" zoomScale="90" zoomScaleNormal="85" zoomScaleSheetLayoutView="90" workbookViewId="0">
      <selection activeCell="E22" sqref="E22"/>
    </sheetView>
  </sheetViews>
  <sheetFormatPr defaultColWidth="8.88671875" defaultRowHeight="14.4" x14ac:dyDescent="0.3"/>
  <cols>
    <col min="1" max="1" width="1.5546875" style="4" customWidth="1"/>
    <col min="2" max="2" width="13.109375" style="4" customWidth="1"/>
    <col min="3" max="3" width="44.88671875" style="4" customWidth="1"/>
    <col min="4" max="4" width="11.44140625" style="4" customWidth="1"/>
    <col min="5" max="5" width="29" style="4" customWidth="1"/>
    <col min="6" max="6" width="1" style="4" customWidth="1"/>
    <col min="7" max="7" width="1.33203125" style="4" customWidth="1"/>
    <col min="8" max="9" width="9.109375" style="4" customWidth="1"/>
    <col min="10" max="16384" width="8.88671875" style="4"/>
  </cols>
  <sheetData>
    <row r="1" spans="1:8" x14ac:dyDescent="0.3">
      <c r="A1" s="7"/>
      <c r="B1" s="7"/>
      <c r="C1" s="277" t="s">
        <v>488</v>
      </c>
      <c r="D1" s="7"/>
      <c r="E1" s="7"/>
      <c r="F1" s="7"/>
      <c r="G1" s="7"/>
    </row>
    <row r="2" spans="1:8" ht="25.8" x14ac:dyDescent="0.3">
      <c r="A2" s="7"/>
      <c r="B2" s="7"/>
      <c r="C2" s="176" t="s">
        <v>48</v>
      </c>
      <c r="D2" s="7"/>
      <c r="E2" s="7"/>
      <c r="F2" s="7"/>
      <c r="G2" s="7"/>
    </row>
    <row r="3" spans="1:8" ht="27.6" customHeight="1" x14ac:dyDescent="0.3">
      <c r="A3" s="7"/>
      <c r="B3" s="7"/>
      <c r="C3" s="377" t="s">
        <v>246</v>
      </c>
      <c r="D3" s="377"/>
      <c r="E3" s="377"/>
      <c r="F3" s="7"/>
      <c r="G3" s="7"/>
    </row>
    <row r="4" spans="1:8" x14ac:dyDescent="0.3">
      <c r="A4" s="7"/>
      <c r="B4" s="7"/>
      <c r="C4" s="7"/>
      <c r="D4" s="7"/>
      <c r="E4" s="7"/>
      <c r="F4" s="7"/>
      <c r="G4" s="7"/>
    </row>
    <row r="5" spans="1:8" x14ac:dyDescent="0.3">
      <c r="A5" s="7"/>
      <c r="B5" s="7"/>
      <c r="C5" s="20" t="s">
        <v>2</v>
      </c>
      <c r="D5" s="321"/>
      <c r="E5" s="321"/>
      <c r="F5" s="7"/>
      <c r="G5" s="7"/>
    </row>
    <row r="6" spans="1:8" x14ac:dyDescent="0.3">
      <c r="A6" s="7"/>
      <c r="B6" s="7"/>
      <c r="C6" s="20" t="s">
        <v>0</v>
      </c>
      <c r="D6" s="321"/>
      <c r="E6" s="321"/>
      <c r="F6" s="7"/>
      <c r="G6" s="7"/>
    </row>
    <row r="7" spans="1:8" x14ac:dyDescent="0.3">
      <c r="A7" s="7"/>
      <c r="B7" s="7"/>
      <c r="C7" s="20" t="s">
        <v>160</v>
      </c>
      <c r="D7" s="321"/>
      <c r="E7" s="321"/>
      <c r="F7" s="7"/>
      <c r="G7" s="7"/>
    </row>
    <row r="8" spans="1:8" x14ac:dyDescent="0.3">
      <c r="A8" s="7"/>
      <c r="B8" s="7"/>
      <c r="C8" s="7"/>
      <c r="D8" s="20"/>
      <c r="E8" s="7"/>
      <c r="F8" s="7"/>
      <c r="G8" s="7"/>
    </row>
    <row r="9" spans="1:8" x14ac:dyDescent="0.3">
      <c r="A9" s="7"/>
      <c r="B9" s="7"/>
      <c r="C9" s="7"/>
      <c r="D9" s="20"/>
      <c r="E9" s="7"/>
      <c r="F9" s="7"/>
      <c r="G9" s="7"/>
    </row>
    <row r="10" spans="1:8" x14ac:dyDescent="0.3">
      <c r="A10" s="7"/>
      <c r="B10" s="50">
        <v>1</v>
      </c>
      <c r="C10" s="19" t="s">
        <v>233</v>
      </c>
      <c r="D10" s="355"/>
      <c r="E10" s="355"/>
      <c r="F10" s="7"/>
      <c r="G10" s="7"/>
    </row>
    <row r="11" spans="1:8" x14ac:dyDescent="0.3">
      <c r="A11" s="7"/>
      <c r="B11" s="50"/>
      <c r="C11" s="19"/>
      <c r="D11" s="8"/>
      <c r="E11" s="7"/>
      <c r="F11" s="7"/>
      <c r="G11" s="7"/>
    </row>
    <row r="12" spans="1:8" ht="28.95" customHeight="1" x14ac:dyDescent="0.3">
      <c r="B12" s="4">
        <v>2</v>
      </c>
      <c r="C12" s="317" t="s">
        <v>473</v>
      </c>
      <c r="D12" s="317"/>
      <c r="E12" s="317"/>
      <c r="F12" s="106"/>
      <c r="H12" s="220"/>
    </row>
    <row r="13" spans="1:8" ht="14.4" customHeight="1" x14ac:dyDescent="0.3">
      <c r="C13" s="7"/>
      <c r="D13" s="20" t="s">
        <v>440</v>
      </c>
      <c r="E13" s="123"/>
      <c r="H13" s="217"/>
    </row>
    <row r="14" spans="1:8" ht="14.4" customHeight="1" x14ac:dyDescent="0.3">
      <c r="C14" s="7"/>
      <c r="D14" s="20" t="s">
        <v>6</v>
      </c>
      <c r="E14" s="123"/>
      <c r="H14" s="223"/>
    </row>
    <row r="15" spans="1:8" ht="14.4" customHeight="1" x14ac:dyDescent="0.3">
      <c r="C15" s="7"/>
      <c r="D15" s="20" t="s">
        <v>297</v>
      </c>
      <c r="E15" s="123"/>
      <c r="H15" s="223"/>
    </row>
    <row r="16" spans="1:8" ht="14.4" customHeight="1" x14ac:dyDescent="0.3">
      <c r="C16" s="7"/>
      <c r="D16" s="20" t="s">
        <v>441</v>
      </c>
      <c r="E16" s="123"/>
      <c r="H16" s="223"/>
    </row>
    <row r="17" spans="1:8" ht="14.4" customHeight="1" x14ac:dyDescent="0.3">
      <c r="C17" s="7"/>
      <c r="D17" s="20" t="s">
        <v>442</v>
      </c>
      <c r="E17" s="123"/>
      <c r="H17" s="223"/>
    </row>
    <row r="18" spans="1:8" ht="14.4" customHeight="1" x14ac:dyDescent="0.3">
      <c r="C18" s="7"/>
      <c r="D18" s="20" t="s">
        <v>443</v>
      </c>
      <c r="E18" s="123"/>
      <c r="H18" s="223"/>
    </row>
    <row r="19" spans="1:8" ht="17.25" customHeight="1" x14ac:dyDescent="0.3">
      <c r="A19" s="7"/>
      <c r="B19" s="50"/>
      <c r="C19" s="19"/>
      <c r="D19" s="8"/>
      <c r="E19" s="7"/>
      <c r="F19" s="7"/>
      <c r="G19" s="7"/>
      <c r="H19" s="42"/>
    </row>
    <row r="20" spans="1:8" x14ac:dyDescent="0.3">
      <c r="A20" s="7"/>
      <c r="B20" s="50">
        <v>3</v>
      </c>
      <c r="C20" s="317" t="s">
        <v>5</v>
      </c>
      <c r="D20" s="317"/>
      <c r="E20" s="317"/>
      <c r="F20" s="7"/>
      <c r="G20" s="7"/>
      <c r="H20" s="42"/>
    </row>
    <row r="21" spans="1:8" x14ac:dyDescent="0.3">
      <c r="A21" s="7"/>
      <c r="B21" s="7"/>
      <c r="C21" s="20" t="s">
        <v>6</v>
      </c>
      <c r="D21" s="118"/>
      <c r="E21" s="7"/>
      <c r="F21" s="7"/>
      <c r="G21" s="7"/>
      <c r="H21" s="42"/>
    </row>
    <row r="22" spans="1:8" ht="28.8" x14ac:dyDescent="0.3">
      <c r="A22" s="7"/>
      <c r="B22" s="7"/>
      <c r="C22" s="21" t="s">
        <v>9</v>
      </c>
      <c r="D22" s="118"/>
      <c r="E22" s="7"/>
      <c r="F22" s="7"/>
      <c r="G22" s="7"/>
      <c r="H22" s="222"/>
    </row>
    <row r="23" spans="1:8" x14ac:dyDescent="0.3">
      <c r="A23" s="7"/>
      <c r="B23" s="7"/>
      <c r="C23" s="7"/>
      <c r="D23" s="7"/>
      <c r="E23" s="7"/>
      <c r="F23" s="7"/>
      <c r="G23" s="7"/>
      <c r="H23" s="219"/>
    </row>
    <row r="24" spans="1:8" x14ac:dyDescent="0.3">
      <c r="A24" s="7"/>
      <c r="B24" s="7"/>
      <c r="C24" s="7"/>
      <c r="D24" s="7"/>
      <c r="E24" s="7"/>
      <c r="F24" s="7"/>
      <c r="G24" s="7"/>
      <c r="H24" s="42"/>
    </row>
    <row r="25" spans="1:8" x14ac:dyDescent="0.3">
      <c r="A25" s="7"/>
      <c r="B25" s="55" t="s">
        <v>8</v>
      </c>
      <c r="C25" s="82"/>
      <c r="D25" s="82"/>
      <c r="E25" s="82"/>
      <c r="F25" s="100"/>
      <c r="G25" s="7"/>
      <c r="H25" s="42"/>
    </row>
    <row r="26" spans="1:8" x14ac:dyDescent="0.3">
      <c r="A26" s="7"/>
      <c r="B26" s="58"/>
      <c r="C26" s="7"/>
      <c r="D26" s="7"/>
      <c r="E26" s="7"/>
      <c r="F26" s="75"/>
      <c r="G26" s="7"/>
      <c r="H26" s="42"/>
    </row>
    <row r="27" spans="1:8" ht="28.95" customHeight="1" x14ac:dyDescent="0.3">
      <c r="A27" s="7"/>
      <c r="B27" s="56" t="s">
        <v>13</v>
      </c>
      <c r="C27" s="317" t="s">
        <v>466</v>
      </c>
      <c r="D27" s="317"/>
      <c r="E27" s="317"/>
      <c r="F27" s="75"/>
      <c r="G27" s="7"/>
      <c r="H27" s="42"/>
    </row>
    <row r="28" spans="1:8" x14ac:dyDescent="0.3">
      <c r="A28" s="7"/>
      <c r="B28" s="56"/>
      <c r="C28" s="7"/>
      <c r="D28" s="118"/>
      <c r="E28" s="7"/>
      <c r="F28" s="75"/>
      <c r="G28" s="7"/>
    </row>
    <row r="29" spans="1:8" x14ac:dyDescent="0.3">
      <c r="A29" s="7"/>
      <c r="B29" s="58"/>
      <c r="C29" s="7"/>
      <c r="D29" s="7"/>
      <c r="E29" s="7"/>
      <c r="F29" s="75"/>
      <c r="G29" s="7"/>
    </row>
    <row r="30" spans="1:8" x14ac:dyDescent="0.3">
      <c r="A30" s="7"/>
      <c r="B30" s="56" t="s">
        <v>47</v>
      </c>
      <c r="C30" s="317" t="s">
        <v>465</v>
      </c>
      <c r="D30" s="317"/>
      <c r="E30" s="317"/>
      <c r="F30" s="75"/>
      <c r="G30" s="7"/>
    </row>
    <row r="31" spans="1:8" x14ac:dyDescent="0.3">
      <c r="A31" s="7"/>
      <c r="B31" s="56"/>
      <c r="C31" s="106"/>
      <c r="D31" s="13"/>
      <c r="E31" s="15" t="s">
        <v>81</v>
      </c>
      <c r="F31" s="75"/>
      <c r="G31" s="7"/>
    </row>
    <row r="32" spans="1:8" x14ac:dyDescent="0.3">
      <c r="A32" s="7"/>
      <c r="B32" s="56"/>
      <c r="C32" s="207"/>
      <c r="D32" s="13"/>
      <c r="E32" s="15" t="s">
        <v>86</v>
      </c>
      <c r="F32" s="75"/>
      <c r="G32" s="7"/>
    </row>
    <row r="33" spans="1:9" x14ac:dyDescent="0.3">
      <c r="A33" s="7"/>
      <c r="B33" s="56"/>
      <c r="C33" s="106"/>
      <c r="D33" s="13"/>
      <c r="E33" s="15" t="s">
        <v>85</v>
      </c>
      <c r="F33" s="75"/>
      <c r="G33" s="7"/>
    </row>
    <row r="34" spans="1:9" x14ac:dyDescent="0.3">
      <c r="A34" s="7"/>
      <c r="B34" s="56"/>
      <c r="C34" s="207"/>
      <c r="D34" s="13"/>
      <c r="E34" s="15" t="s">
        <v>87</v>
      </c>
      <c r="F34" s="75"/>
      <c r="G34" s="7"/>
    </row>
    <row r="35" spans="1:9" x14ac:dyDescent="0.3">
      <c r="A35" s="7"/>
      <c r="B35" s="56"/>
      <c r="C35" s="106"/>
      <c r="D35" s="13"/>
      <c r="E35" s="15" t="s">
        <v>83</v>
      </c>
      <c r="F35" s="75"/>
      <c r="G35" s="7"/>
    </row>
    <row r="36" spans="1:9" ht="15" thickBot="1" x14ac:dyDescent="0.35">
      <c r="A36" s="7"/>
      <c r="B36" s="57"/>
      <c r="C36" s="7"/>
      <c r="D36" s="16"/>
      <c r="E36" s="7"/>
      <c r="F36" s="75"/>
      <c r="G36" s="7"/>
    </row>
    <row r="37" spans="1:9" ht="15.6" thickTop="1" thickBot="1" x14ac:dyDescent="0.35">
      <c r="A37" s="7"/>
      <c r="B37" s="57"/>
      <c r="C37" s="7"/>
      <c r="D37" s="140" t="s">
        <v>84</v>
      </c>
      <c r="E37" s="155">
        <f>'5 Signal Retiming Benefit'!E54</f>
        <v>0</v>
      </c>
      <c r="F37" s="75"/>
      <c r="G37" s="7"/>
    </row>
    <row r="38" spans="1:9" ht="15" thickTop="1" x14ac:dyDescent="0.3">
      <c r="A38" s="7"/>
      <c r="B38" s="60"/>
      <c r="C38" s="132"/>
      <c r="D38" s="132"/>
      <c r="E38" s="132"/>
      <c r="F38" s="99"/>
      <c r="G38" s="7"/>
    </row>
    <row r="39" spans="1:9" x14ac:dyDescent="0.3">
      <c r="A39" s="7"/>
      <c r="B39" s="7"/>
      <c r="C39" s="7"/>
      <c r="D39" s="7"/>
      <c r="E39" s="7"/>
      <c r="F39" s="7"/>
      <c r="G39" s="7"/>
    </row>
    <row r="40" spans="1:9" x14ac:dyDescent="0.3">
      <c r="A40" s="7"/>
      <c r="B40" s="55" t="s">
        <v>14</v>
      </c>
      <c r="C40" s="82"/>
      <c r="D40" s="82"/>
      <c r="E40" s="82"/>
      <c r="F40" s="100"/>
      <c r="G40" s="7"/>
    </row>
    <row r="41" spans="1:9" x14ac:dyDescent="0.3">
      <c r="A41" s="7"/>
      <c r="B41" s="58"/>
      <c r="C41" s="7"/>
      <c r="D41" s="7"/>
      <c r="E41" s="7"/>
      <c r="F41" s="75"/>
      <c r="G41" s="7"/>
    </row>
    <row r="42" spans="1:9" ht="45" customHeight="1" x14ac:dyDescent="0.3">
      <c r="A42" s="7"/>
      <c r="B42" s="56" t="s">
        <v>342</v>
      </c>
      <c r="C42" s="317" t="s">
        <v>597</v>
      </c>
      <c r="D42" s="317"/>
      <c r="E42" s="317"/>
      <c r="F42" s="75"/>
      <c r="G42" s="58"/>
      <c r="H42" s="224"/>
      <c r="I42" s="7"/>
    </row>
    <row r="43" spans="1:9" x14ac:dyDescent="0.3">
      <c r="A43" s="7"/>
      <c r="B43" s="57"/>
      <c r="C43" s="7"/>
      <c r="D43" s="105"/>
      <c r="E43" s="7" t="s">
        <v>404</v>
      </c>
      <c r="F43" s="75"/>
      <c r="G43" s="7"/>
      <c r="H43" s="219"/>
      <c r="I43" s="7"/>
    </row>
    <row r="44" spans="1:9" x14ac:dyDescent="0.3">
      <c r="A44" s="7"/>
      <c r="B44" s="57"/>
      <c r="C44" s="7"/>
      <c r="D44" s="7"/>
      <c r="E44" s="7"/>
      <c r="F44" s="75"/>
      <c r="G44" s="7"/>
      <c r="H44" s="42"/>
      <c r="I44" s="7"/>
    </row>
    <row r="45" spans="1:9" ht="29.4" customHeight="1" x14ac:dyDescent="0.3">
      <c r="A45" s="7"/>
      <c r="B45" s="57" t="s">
        <v>343</v>
      </c>
      <c r="C45" s="317" t="s">
        <v>475</v>
      </c>
      <c r="D45" s="317"/>
      <c r="E45" s="317"/>
      <c r="F45" s="75"/>
      <c r="G45" s="7"/>
      <c r="H45" s="222"/>
      <c r="I45" s="7"/>
    </row>
    <row r="46" spans="1:9" x14ac:dyDescent="0.3">
      <c r="A46" s="7"/>
      <c r="B46" s="57"/>
      <c r="C46" s="7"/>
      <c r="D46" s="118">
        <f>E17</f>
        <v>0</v>
      </c>
      <c r="E46" s="7"/>
      <c r="F46" s="75"/>
      <c r="G46" s="7"/>
      <c r="H46" s="219"/>
      <c r="I46" s="7"/>
    </row>
    <row r="47" spans="1:9" ht="15" thickBot="1" x14ac:dyDescent="0.35">
      <c r="A47" s="7"/>
      <c r="B47" s="57"/>
      <c r="C47" s="7"/>
      <c r="D47" s="7"/>
      <c r="E47" s="7"/>
      <c r="F47" s="75"/>
      <c r="G47" s="7"/>
      <c r="I47" s="7"/>
    </row>
    <row r="48" spans="1:9" ht="15.6" thickTop="1" thickBot="1" x14ac:dyDescent="0.35">
      <c r="A48" s="7"/>
      <c r="B48" s="57"/>
      <c r="C48" s="7"/>
      <c r="D48" s="140" t="s">
        <v>109</v>
      </c>
      <c r="E48" s="155">
        <f>'5 Signal Retiming Benefit'!E83</f>
        <v>0</v>
      </c>
      <c r="F48" s="75"/>
      <c r="G48" s="7"/>
      <c r="I48" s="7"/>
    </row>
    <row r="49" spans="1:9" ht="15" thickTop="1" x14ac:dyDescent="0.3">
      <c r="A49" s="7"/>
      <c r="B49" s="60"/>
      <c r="C49" s="132"/>
      <c r="D49" s="132"/>
      <c r="E49" s="132"/>
      <c r="F49" s="99"/>
      <c r="G49" s="7"/>
      <c r="I49" s="7"/>
    </row>
    <row r="50" spans="1:9" x14ac:dyDescent="0.3">
      <c r="A50" s="7"/>
      <c r="B50" s="7"/>
      <c r="C50" s="7"/>
      <c r="D50" s="7"/>
      <c r="E50" s="7"/>
      <c r="F50" s="7"/>
      <c r="G50" s="7"/>
      <c r="I50" s="7"/>
    </row>
    <row r="51" spans="1:9" x14ac:dyDescent="0.3">
      <c r="A51" s="7"/>
      <c r="B51" s="55" t="s">
        <v>65</v>
      </c>
      <c r="C51" s="82"/>
      <c r="D51" s="82"/>
      <c r="E51" s="82"/>
      <c r="F51" s="100"/>
      <c r="G51" s="7"/>
    </row>
    <row r="52" spans="1:9" ht="15" thickBot="1" x14ac:dyDescent="0.35">
      <c r="A52" s="7"/>
      <c r="B52" s="57"/>
      <c r="C52" s="7"/>
      <c r="D52" s="7"/>
      <c r="E52" s="7"/>
      <c r="F52" s="75"/>
      <c r="G52" s="7"/>
    </row>
    <row r="53" spans="1:9" ht="15.6" thickTop="1" thickBot="1" x14ac:dyDescent="0.35">
      <c r="A53" s="7"/>
      <c r="B53" s="57"/>
      <c r="C53" s="7"/>
      <c r="D53" s="140" t="s">
        <v>131</v>
      </c>
      <c r="E53" s="159">
        <f>'5 Signal Retiming Benefit'!E111</f>
        <v>0</v>
      </c>
      <c r="F53" s="75"/>
      <c r="G53" s="7"/>
    </row>
    <row r="54" spans="1:9" ht="15" thickTop="1" x14ac:dyDescent="0.3">
      <c r="A54" s="7"/>
      <c r="B54" s="59"/>
      <c r="C54" s="132"/>
      <c r="D54" s="142"/>
      <c r="E54" s="160"/>
      <c r="F54" s="99"/>
      <c r="G54" s="7"/>
    </row>
    <row r="55" spans="1:9" ht="15" thickBot="1" x14ac:dyDescent="0.35">
      <c r="A55" s="7"/>
      <c r="B55" s="20"/>
      <c r="C55" s="7"/>
      <c r="D55" s="140"/>
      <c r="E55" s="161"/>
      <c r="F55" s="7"/>
      <c r="G55" s="7"/>
    </row>
    <row r="56" spans="1:9" ht="19.2" thickTop="1" thickBot="1" x14ac:dyDescent="0.35">
      <c r="A56" s="7"/>
      <c r="B56" s="20"/>
      <c r="C56" s="7"/>
      <c r="D56" s="94" t="s">
        <v>132</v>
      </c>
      <c r="E56" s="93">
        <f>'5 Signal Retiming Benefit'!E114</f>
        <v>0</v>
      </c>
      <c r="F56" s="7"/>
      <c r="G56" s="7"/>
    </row>
    <row r="57" spans="1:9" ht="19.2" thickTop="1" thickBot="1" x14ac:dyDescent="0.35">
      <c r="A57" s="7"/>
      <c r="B57" s="7"/>
      <c r="C57" s="7"/>
      <c r="D57" s="94" t="s">
        <v>330</v>
      </c>
      <c r="E57" s="96" t="e">
        <f>E56/D10</f>
        <v>#DIV/0!</v>
      </c>
      <c r="F57" s="7"/>
      <c r="G57" s="7"/>
    </row>
    <row r="58" spans="1:9" ht="15" thickTop="1" x14ac:dyDescent="0.3"/>
  </sheetData>
  <mergeCells count="11">
    <mergeCell ref="C45:E45"/>
    <mergeCell ref="C3:E3"/>
    <mergeCell ref="C30:E30"/>
    <mergeCell ref="C42:E42"/>
    <mergeCell ref="C20:E20"/>
    <mergeCell ref="D5:E5"/>
    <mergeCell ref="D6:E6"/>
    <mergeCell ref="D7:E7"/>
    <mergeCell ref="D10:E10"/>
    <mergeCell ref="C12:E12"/>
    <mergeCell ref="C27:E27"/>
  </mergeCells>
  <conditionalFormatting sqref="B25:F38">
    <cfRule type="expression" dxfId="263" priority="16">
      <formula>$D$21="NO"</formula>
    </cfRule>
  </conditionalFormatting>
  <conditionalFormatting sqref="B40:F49">
    <cfRule type="expression" dxfId="262" priority="9">
      <formula>$D$22="NO"</formula>
    </cfRule>
  </conditionalFormatting>
  <conditionalFormatting sqref="B51:F54">
    <cfRule type="expression" dxfId="261" priority="8">
      <formula>$D$22="NO"</formula>
    </cfRule>
  </conditionalFormatting>
  <dataValidations count="5">
    <dataValidation type="whole" allowBlank="1" showInputMessage="1" showErrorMessage="1" sqref="D10">
      <formula1>0</formula1>
      <formula2>10000000</formula2>
    </dataValidation>
    <dataValidation type="list" showInputMessage="1" showErrorMessage="1" sqref="D21:D22 D28">
      <formula1>YES.NO</formula1>
    </dataValidation>
    <dataValidation type="whole" operator="greaterThanOrEqual" allowBlank="1" showInputMessage="1" showErrorMessage="1" sqref="D43">
      <formula1>0</formula1>
    </dataValidation>
    <dataValidation allowBlank="1" showInputMessage="1" showErrorMessage="1" promptTitle="Urban or Rural" sqref="E31:E35"/>
    <dataValidation showInputMessage="1" showErrorMessage="1" sqref="D46"/>
  </dataValidations>
  <pageMargins left="0.7" right="0.7" top="0.75" bottom="0.75" header="0.3" footer="0.3"/>
  <pageSetup scale="71" orientation="portrait" r:id="rId1"/>
  <rowBreaks count="1" manualBreakCount="1">
    <brk id="49"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promptTitle="Region">
          <x14:formula1>
            <xm:f>'drop-downs'!$I$2:$I$7</xm:f>
          </x14:formula1>
          <xm:sqref>D5:E5</xm:sqref>
        </x14:dataValidation>
        <x14:dataValidation type="list" showInputMessage="1" showErrorMessage="1">
          <x14:formula1>
            <xm:f>'drop-downs'!$AR$2:$AR$4</xm:f>
          </x14:formula1>
          <xm:sqref>E13:E18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O116"/>
  <sheetViews>
    <sheetView zoomScale="90" zoomScaleNormal="90" workbookViewId="0">
      <selection activeCell="E90" sqref="E90"/>
    </sheetView>
  </sheetViews>
  <sheetFormatPr defaultColWidth="8.88671875" defaultRowHeight="14.4" x14ac:dyDescent="0.3"/>
  <cols>
    <col min="1" max="1" width="1.33203125" style="4" customWidth="1"/>
    <col min="2" max="2" width="12.6640625" style="4" customWidth="1"/>
    <col min="3" max="3" width="51" style="4" customWidth="1"/>
    <col min="4" max="4" width="13.88671875" style="4" customWidth="1"/>
    <col min="5" max="5" width="29" style="4" customWidth="1"/>
    <col min="6" max="6" width="1" style="4" customWidth="1"/>
    <col min="7" max="7" width="1.109375" style="4" customWidth="1"/>
    <col min="8" max="8" width="10.109375" style="4" bestFit="1" customWidth="1"/>
    <col min="9" max="16384" width="8.88671875" style="4"/>
  </cols>
  <sheetData>
    <row r="1" spans="1:7" x14ac:dyDescent="0.3">
      <c r="A1" s="7"/>
      <c r="B1" s="7"/>
      <c r="C1" s="129" t="s">
        <v>239</v>
      </c>
      <c r="D1" s="7"/>
      <c r="E1" s="7"/>
      <c r="F1" s="7"/>
      <c r="G1" s="7"/>
    </row>
    <row r="2" spans="1:7" ht="25.8" x14ac:dyDescent="0.3">
      <c r="A2" s="7"/>
      <c r="B2" s="7"/>
      <c r="C2" s="371" t="s">
        <v>48</v>
      </c>
      <c r="D2" s="371"/>
      <c r="E2" s="371"/>
      <c r="F2" s="7"/>
      <c r="G2" s="7"/>
    </row>
    <row r="3" spans="1:7" x14ac:dyDescent="0.3">
      <c r="A3" s="7"/>
      <c r="B3" s="7"/>
      <c r="F3" s="7"/>
      <c r="G3" s="7"/>
    </row>
    <row r="4" spans="1:7" x14ac:dyDescent="0.3">
      <c r="A4" s="7"/>
      <c r="B4" s="7"/>
      <c r="C4" s="7"/>
      <c r="D4" s="7"/>
      <c r="E4" s="7"/>
      <c r="F4" s="7"/>
      <c r="G4" s="7"/>
    </row>
    <row r="5" spans="1:7" x14ac:dyDescent="0.3">
      <c r="A5" s="7"/>
      <c r="B5" s="7"/>
      <c r="C5" s="120" t="s">
        <v>2</v>
      </c>
      <c r="D5" s="363">
        <f>'5 Signal Retiming'!D5:E5</f>
        <v>0</v>
      </c>
      <c r="E5" s="363"/>
      <c r="F5" s="7"/>
      <c r="G5" s="7"/>
    </row>
    <row r="6" spans="1:7" x14ac:dyDescent="0.3">
      <c r="A6" s="7"/>
      <c r="B6" s="7"/>
      <c r="C6" s="120" t="s">
        <v>0</v>
      </c>
      <c r="D6" s="363">
        <f>'5 Signal Retiming'!D6:E6</f>
        <v>0</v>
      </c>
      <c r="E6" s="363"/>
      <c r="F6" s="7"/>
      <c r="G6" s="7"/>
    </row>
    <row r="7" spans="1:7" x14ac:dyDescent="0.3">
      <c r="A7" s="7"/>
      <c r="B7" s="7"/>
      <c r="C7" s="20" t="s">
        <v>160</v>
      </c>
      <c r="D7" s="363">
        <f>'5 Signal Retiming'!D7:E7</f>
        <v>0</v>
      </c>
      <c r="E7" s="363"/>
      <c r="F7" s="7"/>
      <c r="G7" s="7"/>
    </row>
    <row r="8" spans="1:7" x14ac:dyDescent="0.3">
      <c r="A8" s="7"/>
      <c r="B8" s="7"/>
      <c r="C8" s="15"/>
      <c r="D8" s="120"/>
      <c r="E8" s="15"/>
      <c r="F8" s="7"/>
      <c r="G8" s="7"/>
    </row>
    <row r="9" spans="1:7" x14ac:dyDescent="0.3">
      <c r="A9" s="7"/>
      <c r="B9" s="7"/>
      <c r="C9" s="15"/>
      <c r="D9" s="120"/>
      <c r="E9" s="15"/>
      <c r="F9" s="7"/>
      <c r="G9" s="7"/>
    </row>
    <row r="10" spans="1:7" x14ac:dyDescent="0.3">
      <c r="A10" s="7"/>
      <c r="B10" s="50">
        <v>1</v>
      </c>
      <c r="C10" s="19" t="s">
        <v>233</v>
      </c>
      <c r="D10" s="358">
        <f>'5 Signal Retiming'!D10:E10</f>
        <v>0</v>
      </c>
      <c r="E10" s="358"/>
      <c r="F10" s="7"/>
      <c r="G10" s="7"/>
    </row>
    <row r="11" spans="1:7" x14ac:dyDescent="0.3">
      <c r="A11" s="7"/>
      <c r="B11" s="50"/>
      <c r="C11" s="38"/>
      <c r="D11" s="14"/>
      <c r="E11" s="15"/>
      <c r="F11" s="7"/>
      <c r="G11" s="7"/>
    </row>
    <row r="12" spans="1:7" x14ac:dyDescent="0.3">
      <c r="A12" s="7"/>
      <c r="B12" s="50">
        <v>2</v>
      </c>
      <c r="C12" s="360" t="s">
        <v>5</v>
      </c>
      <c r="D12" s="360"/>
      <c r="E12" s="360"/>
      <c r="F12" s="7"/>
      <c r="G12" s="7"/>
    </row>
    <row r="13" spans="1:7" x14ac:dyDescent="0.3">
      <c r="A13" s="7"/>
      <c r="B13" s="7"/>
      <c r="C13" s="120" t="s">
        <v>6</v>
      </c>
      <c r="D13" s="52">
        <f>'5 Signal Retiming'!D21</f>
        <v>0</v>
      </c>
      <c r="E13" s="15"/>
      <c r="F13" s="7"/>
      <c r="G13" s="7"/>
    </row>
    <row r="14" spans="1:7" ht="28.8" x14ac:dyDescent="0.3">
      <c r="A14" s="7"/>
      <c r="B14" s="7"/>
      <c r="C14" s="39" t="s">
        <v>9</v>
      </c>
      <c r="D14" s="52">
        <f>'5 Signal Retiming'!D22</f>
        <v>0</v>
      </c>
      <c r="E14" s="15"/>
      <c r="F14" s="7"/>
      <c r="G14" s="7"/>
    </row>
    <row r="15" spans="1:7" x14ac:dyDescent="0.3">
      <c r="A15" s="7"/>
      <c r="B15" s="7"/>
      <c r="C15" s="120" t="s">
        <v>20</v>
      </c>
      <c r="D15" s="52">
        <f>D14</f>
        <v>0</v>
      </c>
      <c r="E15" s="15"/>
      <c r="F15" s="7"/>
      <c r="G15" s="7"/>
    </row>
    <row r="16" spans="1:7" x14ac:dyDescent="0.3">
      <c r="A16" s="7"/>
      <c r="B16" s="7"/>
      <c r="C16" s="7"/>
      <c r="D16" s="7"/>
      <c r="E16" s="7"/>
      <c r="F16" s="7"/>
      <c r="G16" s="7"/>
    </row>
    <row r="17" spans="1:7" x14ac:dyDescent="0.3">
      <c r="A17" s="7"/>
      <c r="B17" s="7"/>
      <c r="C17" s="7"/>
      <c r="D17" s="7"/>
      <c r="E17" s="7"/>
      <c r="F17" s="7"/>
      <c r="G17" s="7"/>
    </row>
    <row r="18" spans="1:7" x14ac:dyDescent="0.3">
      <c r="A18" s="7"/>
      <c r="B18" s="55" t="s">
        <v>8</v>
      </c>
      <c r="C18" s="82"/>
      <c r="D18" s="82"/>
      <c r="E18" s="82"/>
      <c r="F18" s="100"/>
      <c r="G18" s="7"/>
    </row>
    <row r="19" spans="1:7" x14ac:dyDescent="0.3">
      <c r="A19" s="7"/>
      <c r="B19" s="58"/>
      <c r="C19" s="7"/>
      <c r="D19" s="7"/>
      <c r="E19" s="7"/>
      <c r="F19" s="75"/>
      <c r="G19" s="7"/>
    </row>
    <row r="20" spans="1:7" x14ac:dyDescent="0.3">
      <c r="A20" s="7"/>
      <c r="B20" s="56" t="s">
        <v>13</v>
      </c>
      <c r="C20" s="7" t="s">
        <v>260</v>
      </c>
      <c r="D20" s="7"/>
      <c r="E20" s="7"/>
      <c r="F20" s="75"/>
      <c r="G20" s="7"/>
    </row>
    <row r="21" spans="1:7" x14ac:dyDescent="0.3">
      <c r="A21" s="7"/>
      <c r="B21" s="58"/>
      <c r="C21" s="7"/>
      <c r="D21" s="46">
        <f>'5 Signal Retiming'!D28</f>
        <v>0</v>
      </c>
      <c r="E21" s="7"/>
      <c r="F21" s="75"/>
      <c r="G21" s="7"/>
    </row>
    <row r="22" spans="1:7" x14ac:dyDescent="0.3">
      <c r="A22" s="7"/>
      <c r="B22" s="58"/>
      <c r="C22" s="7"/>
      <c r="D22" s="7"/>
      <c r="E22" s="7"/>
      <c r="F22" s="75"/>
      <c r="G22" s="7"/>
    </row>
    <row r="23" spans="1:7" x14ac:dyDescent="0.3">
      <c r="A23" s="7"/>
      <c r="B23" s="56" t="s">
        <v>47</v>
      </c>
      <c r="C23" s="360" t="s">
        <v>80</v>
      </c>
      <c r="D23" s="360"/>
      <c r="E23" s="360"/>
      <c r="F23" s="75"/>
      <c r="G23" s="7"/>
    </row>
    <row r="24" spans="1:7" x14ac:dyDescent="0.3">
      <c r="A24" s="7"/>
      <c r="B24" s="56"/>
      <c r="C24" s="107"/>
      <c r="D24" s="17">
        <f>'5 Signal Retiming'!D31</f>
        <v>0</v>
      </c>
      <c r="E24" s="15" t="s">
        <v>81</v>
      </c>
      <c r="F24" s="75"/>
      <c r="G24" s="7"/>
    </row>
    <row r="25" spans="1:7" x14ac:dyDescent="0.3">
      <c r="A25" s="7"/>
      <c r="B25" s="56"/>
      <c r="C25" s="208"/>
      <c r="D25" s="17">
        <f>'5 Signal Retiming'!D32</f>
        <v>0</v>
      </c>
      <c r="E25" s="15" t="s">
        <v>86</v>
      </c>
      <c r="F25" s="75"/>
      <c r="G25" s="7"/>
    </row>
    <row r="26" spans="1:7" x14ac:dyDescent="0.3">
      <c r="A26" s="7"/>
      <c r="B26" s="56"/>
      <c r="C26" s="107"/>
      <c r="D26" s="17">
        <f>'5 Signal Retiming'!D33</f>
        <v>0</v>
      </c>
      <c r="E26" s="15" t="s">
        <v>85</v>
      </c>
      <c r="F26" s="75"/>
      <c r="G26" s="7"/>
    </row>
    <row r="27" spans="1:7" x14ac:dyDescent="0.3">
      <c r="A27" s="7"/>
      <c r="B27" s="56"/>
      <c r="C27" s="208"/>
      <c r="D27" s="17">
        <f>'5 Signal Retiming'!D34</f>
        <v>0</v>
      </c>
      <c r="E27" s="15" t="s">
        <v>87</v>
      </c>
      <c r="F27" s="75"/>
      <c r="G27" s="7"/>
    </row>
    <row r="28" spans="1:7" x14ac:dyDescent="0.3">
      <c r="A28" s="7"/>
      <c r="B28" s="56"/>
      <c r="C28" s="107"/>
      <c r="D28" s="17">
        <f>'5 Signal Retiming'!D35</f>
        <v>0</v>
      </c>
      <c r="E28" s="15" t="s">
        <v>83</v>
      </c>
      <c r="F28" s="75"/>
      <c r="G28" s="7"/>
    </row>
    <row r="29" spans="1:7" x14ac:dyDescent="0.3">
      <c r="A29" s="7"/>
      <c r="B29" s="57"/>
      <c r="C29" s="15"/>
      <c r="D29" s="16"/>
      <c r="E29" s="15"/>
      <c r="F29" s="75"/>
      <c r="G29" s="7"/>
    </row>
    <row r="30" spans="1:7" ht="27.75" customHeight="1" x14ac:dyDescent="0.3">
      <c r="A30" s="7"/>
      <c r="B30" s="56" t="s">
        <v>47</v>
      </c>
      <c r="C30" s="360" t="s">
        <v>88</v>
      </c>
      <c r="D30" s="360"/>
      <c r="E30" s="360"/>
      <c r="F30" s="75"/>
      <c r="G30" s="7"/>
    </row>
    <row r="31" spans="1:7" x14ac:dyDescent="0.3">
      <c r="A31" s="7"/>
      <c r="B31" s="57"/>
      <c r="C31" s="15"/>
      <c r="D31" s="134">
        <f>PARAMETERS!E8</f>
        <v>1513782</v>
      </c>
      <c r="E31" s="15" t="s">
        <v>81</v>
      </c>
      <c r="F31" s="75"/>
      <c r="G31" s="7"/>
    </row>
    <row r="32" spans="1:7" x14ac:dyDescent="0.3">
      <c r="A32" s="7"/>
      <c r="B32" s="57"/>
      <c r="C32" s="15"/>
      <c r="D32" s="134">
        <f>PARAMETERS!E9</f>
        <v>74284.56</v>
      </c>
      <c r="E32" s="15" t="s">
        <v>86</v>
      </c>
      <c r="F32" s="75"/>
      <c r="G32" s="7"/>
    </row>
    <row r="33" spans="1:7" x14ac:dyDescent="0.3">
      <c r="A33" s="7"/>
      <c r="B33" s="57"/>
      <c r="C33" s="15"/>
      <c r="D33" s="134">
        <f>PARAMETERS!E10</f>
        <v>23929.200000000001</v>
      </c>
      <c r="E33" s="15" t="s">
        <v>85</v>
      </c>
      <c r="F33" s="75"/>
      <c r="G33" s="7"/>
    </row>
    <row r="34" spans="1:7" x14ac:dyDescent="0.3">
      <c r="A34" s="7"/>
      <c r="B34" s="57"/>
      <c r="C34" s="15"/>
      <c r="D34" s="134">
        <f>PARAMETERS!E11</f>
        <v>13525.2</v>
      </c>
      <c r="E34" s="15" t="s">
        <v>87</v>
      </c>
      <c r="F34" s="75"/>
      <c r="G34" s="7"/>
    </row>
    <row r="35" spans="1:7" x14ac:dyDescent="0.3">
      <c r="A35" s="7"/>
      <c r="B35" s="57"/>
      <c r="C35" s="15"/>
      <c r="D35" s="134">
        <f>PARAMETERS!E12</f>
        <v>9571.68</v>
      </c>
      <c r="E35" s="15" t="s">
        <v>83</v>
      </c>
      <c r="F35" s="75"/>
      <c r="G35" s="7"/>
    </row>
    <row r="36" spans="1:7" x14ac:dyDescent="0.3">
      <c r="A36" s="7"/>
      <c r="B36" s="57"/>
      <c r="C36" s="15"/>
      <c r="D36" s="15"/>
      <c r="E36" s="15"/>
      <c r="F36" s="75"/>
      <c r="G36" s="7"/>
    </row>
    <row r="37" spans="1:7" x14ac:dyDescent="0.3">
      <c r="A37" s="7"/>
      <c r="B37" s="56" t="s">
        <v>76</v>
      </c>
      <c r="C37" s="361" t="s">
        <v>203</v>
      </c>
      <c r="D37" s="361"/>
      <c r="E37" s="361"/>
      <c r="F37" s="75"/>
      <c r="G37" s="7"/>
    </row>
    <row r="38" spans="1:7" x14ac:dyDescent="0.3">
      <c r="A38" s="7"/>
      <c r="B38" s="57"/>
      <c r="C38" s="15"/>
      <c r="D38" s="279">
        <f>PARAMETERS!E15</f>
        <v>31</v>
      </c>
      <c r="E38" s="15" t="s">
        <v>204</v>
      </c>
      <c r="F38" s="75"/>
      <c r="G38" s="7"/>
    </row>
    <row r="39" spans="1:7" x14ac:dyDescent="0.3">
      <c r="A39" s="7"/>
      <c r="B39" s="57"/>
      <c r="C39" s="15"/>
      <c r="D39" s="15"/>
      <c r="E39" s="15"/>
      <c r="F39" s="75"/>
      <c r="G39" s="7"/>
    </row>
    <row r="40" spans="1:7" x14ac:dyDescent="0.3">
      <c r="A40" s="7"/>
      <c r="B40" s="56" t="s">
        <v>93</v>
      </c>
      <c r="C40" s="361" t="s">
        <v>205</v>
      </c>
      <c r="D40" s="361"/>
      <c r="E40" s="361"/>
      <c r="F40" s="75"/>
      <c r="G40" s="7"/>
    </row>
    <row r="41" spans="1:7" x14ac:dyDescent="0.3">
      <c r="A41" s="7"/>
      <c r="B41" s="57"/>
      <c r="C41" s="15"/>
      <c r="D41" s="136">
        <f>D24*(1-($D$38/100))</f>
        <v>0</v>
      </c>
      <c r="E41" s="15" t="s">
        <v>81</v>
      </c>
      <c r="F41" s="75"/>
      <c r="G41" s="7"/>
    </row>
    <row r="42" spans="1:7" x14ac:dyDescent="0.3">
      <c r="A42" s="7"/>
      <c r="B42" s="57"/>
      <c r="C42" s="15"/>
      <c r="D42" s="136">
        <f t="shared" ref="D42:D45" si="0">D25*(1-($D$38/100))</f>
        <v>0</v>
      </c>
      <c r="E42" s="15"/>
      <c r="F42" s="75"/>
      <c r="G42" s="7"/>
    </row>
    <row r="43" spans="1:7" x14ac:dyDescent="0.3">
      <c r="A43" s="7"/>
      <c r="B43" s="57"/>
      <c r="C43" s="15"/>
      <c r="D43" s="136">
        <f t="shared" si="0"/>
        <v>0</v>
      </c>
      <c r="E43" s="15" t="s">
        <v>82</v>
      </c>
      <c r="F43" s="75"/>
      <c r="G43" s="7"/>
    </row>
    <row r="44" spans="1:7" x14ac:dyDescent="0.3">
      <c r="A44" s="7"/>
      <c r="B44" s="57"/>
      <c r="C44" s="15"/>
      <c r="D44" s="136">
        <f t="shared" si="0"/>
        <v>0</v>
      </c>
      <c r="E44" s="15"/>
      <c r="F44" s="75"/>
      <c r="G44" s="7"/>
    </row>
    <row r="45" spans="1:7" x14ac:dyDescent="0.3">
      <c r="A45" s="7"/>
      <c r="B45" s="57"/>
      <c r="C45" s="15"/>
      <c r="D45" s="136">
        <f t="shared" si="0"/>
        <v>0</v>
      </c>
      <c r="E45" s="15" t="s">
        <v>83</v>
      </c>
      <c r="F45" s="75"/>
      <c r="G45" s="7"/>
    </row>
    <row r="46" spans="1:7" x14ac:dyDescent="0.3">
      <c r="A46" s="7"/>
      <c r="B46" s="57"/>
      <c r="C46" s="15"/>
      <c r="D46" s="137"/>
      <c r="E46" s="15"/>
      <c r="F46" s="75"/>
      <c r="G46" s="7"/>
    </row>
    <row r="47" spans="1:7" x14ac:dyDescent="0.3">
      <c r="A47" s="7"/>
      <c r="B47" s="56" t="s">
        <v>94</v>
      </c>
      <c r="C47" s="361" t="s">
        <v>92</v>
      </c>
      <c r="D47" s="361"/>
      <c r="E47" s="361"/>
      <c r="F47" s="75"/>
      <c r="G47" s="7"/>
    </row>
    <row r="48" spans="1:7" x14ac:dyDescent="0.3">
      <c r="A48" s="7"/>
      <c r="B48" s="57"/>
      <c r="C48" s="15"/>
      <c r="D48" s="138">
        <f>(D24-D41)*D31</f>
        <v>0</v>
      </c>
      <c r="E48" s="15" t="s">
        <v>81</v>
      </c>
      <c r="F48" s="75"/>
      <c r="G48" s="7"/>
    </row>
    <row r="49" spans="1:15" x14ac:dyDescent="0.3">
      <c r="A49" s="7"/>
      <c r="B49" s="57"/>
      <c r="C49" s="15"/>
      <c r="D49" s="138">
        <f t="shared" ref="D49:D52" si="1">(D25-D42)*D32</f>
        <v>0</v>
      </c>
      <c r="E49" s="15"/>
      <c r="F49" s="75"/>
      <c r="G49" s="7"/>
    </row>
    <row r="50" spans="1:15" x14ac:dyDescent="0.3">
      <c r="A50" s="7"/>
      <c r="B50" s="57"/>
      <c r="C50" s="15"/>
      <c r="D50" s="138">
        <f t="shared" si="1"/>
        <v>0</v>
      </c>
      <c r="E50" s="15" t="s">
        <v>82</v>
      </c>
      <c r="F50" s="75"/>
      <c r="G50" s="7"/>
    </row>
    <row r="51" spans="1:15" x14ac:dyDescent="0.3">
      <c r="A51" s="7"/>
      <c r="B51" s="57"/>
      <c r="C51" s="15"/>
      <c r="D51" s="138">
        <f t="shared" si="1"/>
        <v>0</v>
      </c>
      <c r="E51" s="15"/>
      <c r="F51" s="75"/>
      <c r="G51" s="7"/>
    </row>
    <row r="52" spans="1:15" x14ac:dyDescent="0.3">
      <c r="A52" s="7"/>
      <c r="B52" s="57"/>
      <c r="C52" s="15"/>
      <c r="D52" s="138">
        <f t="shared" si="1"/>
        <v>0</v>
      </c>
      <c r="E52" s="15" t="s">
        <v>83</v>
      </c>
      <c r="F52" s="75"/>
      <c r="G52" s="7"/>
    </row>
    <row r="53" spans="1:15" ht="15" thickBot="1" x14ac:dyDescent="0.35">
      <c r="A53" s="7"/>
      <c r="B53" s="57"/>
      <c r="C53" s="15"/>
      <c r="D53" s="15"/>
      <c r="E53" s="15"/>
      <c r="F53" s="75"/>
      <c r="G53" s="7"/>
    </row>
    <row r="54" spans="1:15" ht="15.6" thickTop="1" thickBot="1" x14ac:dyDescent="0.35">
      <c r="A54" s="7"/>
      <c r="B54" s="57"/>
      <c r="C54" s="15"/>
      <c r="D54" s="140" t="s">
        <v>98</v>
      </c>
      <c r="E54" s="141">
        <f>IF(AND(SUM(D48:D52)&gt;0,D13="YES", D21="YES"),ROUND(SUM(D48:D52),-3),0)</f>
        <v>0</v>
      </c>
      <c r="F54" s="75"/>
      <c r="G54" s="7"/>
    </row>
    <row r="55" spans="1:15" ht="15" thickTop="1" x14ac:dyDescent="0.3">
      <c r="A55" s="7"/>
      <c r="B55" s="60"/>
      <c r="C55" s="132"/>
      <c r="D55" s="132"/>
      <c r="E55" s="132"/>
      <c r="F55" s="99"/>
      <c r="G55" s="7"/>
    </row>
    <row r="56" spans="1:15" x14ac:dyDescent="0.3">
      <c r="A56" s="7"/>
      <c r="B56" s="7"/>
      <c r="C56" s="7"/>
      <c r="D56" s="7"/>
      <c r="E56" s="7"/>
      <c r="F56" s="7"/>
      <c r="G56" s="7"/>
    </row>
    <row r="57" spans="1:15" x14ac:dyDescent="0.3">
      <c r="A57" s="7"/>
      <c r="B57" s="55" t="s">
        <v>14</v>
      </c>
      <c r="C57" s="82"/>
      <c r="D57" s="82"/>
      <c r="E57" s="82"/>
      <c r="F57" s="100"/>
      <c r="G57" s="7"/>
    </row>
    <row r="58" spans="1:15" x14ac:dyDescent="0.3">
      <c r="A58" s="7"/>
      <c r="B58" s="58"/>
      <c r="C58" s="7"/>
      <c r="D58" s="7"/>
      <c r="E58" s="7"/>
      <c r="F58" s="75"/>
      <c r="G58" s="7"/>
    </row>
    <row r="59" spans="1:15" ht="30.75" customHeight="1" x14ac:dyDescent="0.3">
      <c r="A59" s="7"/>
      <c r="B59" s="56" t="s">
        <v>342</v>
      </c>
      <c r="C59" s="317" t="s">
        <v>403</v>
      </c>
      <c r="D59" s="317"/>
      <c r="E59" s="317"/>
      <c r="F59" s="75"/>
      <c r="G59" s="7"/>
      <c r="H59" s="42"/>
    </row>
    <row r="60" spans="1:15" x14ac:dyDescent="0.3">
      <c r="A60" s="7"/>
      <c r="B60" s="57"/>
      <c r="C60" s="7"/>
      <c r="D60" s="49">
        <f>'5 Signal Retiming'!D43</f>
        <v>0</v>
      </c>
      <c r="E60" s="7" t="s">
        <v>404</v>
      </c>
      <c r="F60" s="75"/>
      <c r="G60" s="7"/>
      <c r="H60" s="42"/>
    </row>
    <row r="61" spans="1:15" x14ac:dyDescent="0.3">
      <c r="A61" s="7"/>
      <c r="B61" s="57"/>
      <c r="C61" s="7"/>
      <c r="D61" s="144"/>
      <c r="E61" s="7"/>
      <c r="F61" s="75"/>
      <c r="G61" s="7"/>
    </row>
    <row r="62" spans="1:15" x14ac:dyDescent="0.3">
      <c r="A62" s="7"/>
      <c r="B62" s="57" t="s">
        <v>343</v>
      </c>
      <c r="C62" s="317" t="s">
        <v>444</v>
      </c>
      <c r="D62" s="317"/>
      <c r="E62" s="317"/>
      <c r="F62" s="75"/>
      <c r="G62" s="7"/>
    </row>
    <row r="63" spans="1:15" x14ac:dyDescent="0.3">
      <c r="A63" s="7"/>
      <c r="B63" s="57"/>
      <c r="C63" s="7"/>
      <c r="D63" s="49">
        <f>'5 Signal Retiming'!D46</f>
        <v>0</v>
      </c>
      <c r="E63" s="7"/>
      <c r="F63" s="75"/>
      <c r="G63" s="7"/>
    </row>
    <row r="64" spans="1:15" x14ac:dyDescent="0.3">
      <c r="A64" s="7"/>
      <c r="B64" s="57"/>
      <c r="C64" s="7"/>
      <c r="D64" s="144"/>
      <c r="E64" s="7"/>
      <c r="F64" s="75"/>
      <c r="G64" s="7"/>
      <c r="H64" s="42"/>
      <c r="I64" s="42"/>
      <c r="J64" s="42"/>
      <c r="K64" s="42"/>
      <c r="L64" s="42"/>
      <c r="M64" s="42"/>
      <c r="N64" s="42"/>
      <c r="O64" s="42"/>
    </row>
    <row r="65" spans="1:15" x14ac:dyDescent="0.3">
      <c r="A65" s="7"/>
      <c r="B65" s="57" t="s">
        <v>344</v>
      </c>
      <c r="C65" s="7" t="s">
        <v>417</v>
      </c>
      <c r="D65" s="145">
        <f>IFERROR(VLOOKUP(D63,'drop-downs'!$AR$2:$AS$5,2,0),0)</f>
        <v>0</v>
      </c>
      <c r="E65" s="7" t="s">
        <v>414</v>
      </c>
      <c r="F65" s="75"/>
      <c r="G65" s="7"/>
      <c r="H65" s="42"/>
      <c r="I65" s="42"/>
      <c r="J65" s="42"/>
      <c r="K65" s="42"/>
      <c r="L65" s="42"/>
      <c r="M65" s="42"/>
      <c r="N65" s="42"/>
      <c r="O65" s="42"/>
    </row>
    <row r="66" spans="1:15" x14ac:dyDescent="0.3">
      <c r="A66" s="7"/>
      <c r="B66" s="57"/>
      <c r="C66" s="7"/>
      <c r="D66" s="144"/>
      <c r="E66" s="7"/>
      <c r="F66" s="75"/>
      <c r="G66" s="7"/>
      <c r="H66" s="42"/>
      <c r="I66" s="42"/>
      <c r="J66" s="42"/>
      <c r="K66" s="42"/>
      <c r="L66" s="42"/>
      <c r="M66" s="42"/>
      <c r="N66" s="42"/>
      <c r="O66" s="42"/>
    </row>
    <row r="67" spans="1:15" x14ac:dyDescent="0.3">
      <c r="A67" s="7"/>
      <c r="B67" s="56" t="s">
        <v>345</v>
      </c>
      <c r="C67" s="7" t="s">
        <v>448</v>
      </c>
      <c r="D67" s="146">
        <f>PARAMETERS!J11</f>
        <v>27.2</v>
      </c>
      <c r="E67" s="7" t="s">
        <v>207</v>
      </c>
      <c r="F67" s="75"/>
      <c r="G67" s="7"/>
      <c r="H67" s="42"/>
      <c r="I67" s="42"/>
      <c r="J67" s="42"/>
      <c r="K67" s="42"/>
      <c r="L67" s="42"/>
      <c r="M67" s="42"/>
      <c r="N67" s="42"/>
      <c r="O67" s="42"/>
    </row>
    <row r="68" spans="1:15" x14ac:dyDescent="0.3">
      <c r="A68" s="7"/>
      <c r="B68" s="57"/>
      <c r="C68" s="7"/>
      <c r="D68" s="115"/>
      <c r="F68" s="75"/>
      <c r="G68" s="7"/>
      <c r="H68" s="42"/>
      <c r="I68" s="42"/>
      <c r="J68" s="42"/>
      <c r="K68" s="42"/>
      <c r="L68" s="42"/>
      <c r="M68" s="42"/>
      <c r="N68" s="42"/>
      <c r="O68" s="42"/>
    </row>
    <row r="69" spans="1:15" x14ac:dyDescent="0.3">
      <c r="A69" s="7"/>
      <c r="B69" s="57" t="s">
        <v>346</v>
      </c>
      <c r="C69" s="7" t="s">
        <v>411</v>
      </c>
      <c r="D69" s="145">
        <f>D65-D67/100*D65</f>
        <v>0</v>
      </c>
      <c r="E69" s="7" t="s">
        <v>414</v>
      </c>
      <c r="F69" s="75"/>
      <c r="G69" s="7"/>
      <c r="H69" s="42"/>
      <c r="I69" s="42"/>
      <c r="J69" s="42"/>
      <c r="K69" s="42"/>
      <c r="L69" s="42"/>
      <c r="M69" s="42"/>
      <c r="N69" s="42"/>
      <c r="O69" s="42"/>
    </row>
    <row r="70" spans="1:15" x14ac:dyDescent="0.3">
      <c r="A70" s="7"/>
      <c r="B70" s="57"/>
      <c r="C70" s="7"/>
      <c r="D70" s="144"/>
      <c r="E70" s="7"/>
      <c r="F70" s="75"/>
      <c r="G70" s="7"/>
      <c r="H70" s="42"/>
      <c r="I70" s="42"/>
      <c r="J70" s="42"/>
      <c r="K70" s="42"/>
      <c r="L70" s="42"/>
      <c r="M70" s="42"/>
      <c r="N70" s="42"/>
      <c r="O70" s="42"/>
    </row>
    <row r="71" spans="1:15" x14ac:dyDescent="0.3">
      <c r="A71" s="7"/>
      <c r="B71" s="57" t="s">
        <v>347</v>
      </c>
      <c r="C71" s="7" t="s">
        <v>410</v>
      </c>
      <c r="D71" s="145">
        <f>D65-D69</f>
        <v>0</v>
      </c>
      <c r="E71" s="7" t="s">
        <v>414</v>
      </c>
      <c r="F71" s="75"/>
      <c r="G71" s="7"/>
      <c r="H71" s="42"/>
      <c r="I71" s="42"/>
      <c r="J71" s="42"/>
      <c r="K71" s="42"/>
      <c r="L71" s="42"/>
      <c r="M71" s="42"/>
      <c r="N71" s="42"/>
      <c r="O71" s="42"/>
    </row>
    <row r="72" spans="1:15" x14ac:dyDescent="0.3">
      <c r="A72" s="7"/>
      <c r="B72" s="57"/>
      <c r="C72" s="7"/>
      <c r="D72" s="144"/>
      <c r="E72" s="7"/>
      <c r="F72" s="75"/>
      <c r="G72" s="7"/>
      <c r="H72" s="42"/>
      <c r="I72" s="42"/>
      <c r="J72" s="42"/>
      <c r="K72" s="42"/>
      <c r="L72" s="42"/>
      <c r="M72" s="42"/>
      <c r="N72" s="42"/>
      <c r="O72" s="42"/>
    </row>
    <row r="73" spans="1:15" x14ac:dyDescent="0.3">
      <c r="A73" s="7"/>
      <c r="B73" s="57" t="s">
        <v>406</v>
      </c>
      <c r="C73" s="7" t="s">
        <v>407</v>
      </c>
      <c r="D73" s="145">
        <f>0.1*D60</f>
        <v>0</v>
      </c>
      <c r="E73" s="7" t="s">
        <v>404</v>
      </c>
      <c r="F73" s="75"/>
      <c r="G73" s="7"/>
    </row>
    <row r="74" spans="1:15" x14ac:dyDescent="0.3">
      <c r="A74" s="7"/>
      <c r="B74" s="57"/>
      <c r="C74" s="129" t="s">
        <v>408</v>
      </c>
      <c r="D74" s="144"/>
      <c r="E74" s="7"/>
      <c r="F74" s="75"/>
      <c r="G74" s="7"/>
    </row>
    <row r="75" spans="1:15" x14ac:dyDescent="0.3">
      <c r="A75" s="7"/>
      <c r="B75" s="57"/>
      <c r="C75" s="7"/>
      <c r="D75" s="144"/>
      <c r="E75" s="7"/>
      <c r="F75" s="75"/>
      <c r="G75" s="7"/>
    </row>
    <row r="76" spans="1:15" x14ac:dyDescent="0.3">
      <c r="A76" s="7"/>
      <c r="B76" s="56" t="s">
        <v>409</v>
      </c>
      <c r="C76" s="7" t="s">
        <v>102</v>
      </c>
      <c r="D76" s="135">
        <f>PARAMETERS!J8</f>
        <v>1.59</v>
      </c>
      <c r="E76" s="7" t="s">
        <v>103</v>
      </c>
      <c r="F76" s="75"/>
      <c r="G76" s="7"/>
    </row>
    <row r="77" spans="1:15" x14ac:dyDescent="0.3">
      <c r="A77" s="7"/>
      <c r="B77" s="57"/>
      <c r="C77" s="7"/>
      <c r="D77" s="7"/>
      <c r="E77" s="7"/>
      <c r="F77" s="75"/>
      <c r="G77" s="7"/>
    </row>
    <row r="78" spans="1:15" ht="30" customHeight="1" x14ac:dyDescent="0.3">
      <c r="A78" s="7"/>
      <c r="B78" s="56" t="s">
        <v>415</v>
      </c>
      <c r="C78" s="317" t="s">
        <v>447</v>
      </c>
      <c r="D78" s="317"/>
      <c r="E78" s="317"/>
      <c r="F78" s="75"/>
      <c r="G78" s="7"/>
    </row>
    <row r="79" spans="1:15" x14ac:dyDescent="0.3">
      <c r="A79" s="7"/>
      <c r="B79" s="57"/>
      <c r="C79" s="7"/>
      <c r="D79" s="147">
        <f>D73*5*52*D71/3600</f>
        <v>0</v>
      </c>
      <c r="E79" s="7" t="s">
        <v>412</v>
      </c>
      <c r="F79" s="75"/>
      <c r="G79" s="7"/>
      <c r="H79" s="4" t="s">
        <v>413</v>
      </c>
    </row>
    <row r="80" spans="1:15" x14ac:dyDescent="0.3">
      <c r="A80" s="7"/>
      <c r="B80" s="57"/>
      <c r="C80" s="7"/>
      <c r="D80" s="7"/>
      <c r="E80" s="7"/>
      <c r="F80" s="75"/>
      <c r="G80" s="7"/>
    </row>
    <row r="81" spans="1:7" x14ac:dyDescent="0.3">
      <c r="A81" s="7"/>
      <c r="B81" s="56" t="s">
        <v>416</v>
      </c>
      <c r="C81" s="7" t="s">
        <v>341</v>
      </c>
      <c r="D81" s="148">
        <f>PARAMETERS!J9</f>
        <v>15.25</v>
      </c>
      <c r="E81" s="7" t="s">
        <v>348</v>
      </c>
      <c r="F81" s="75"/>
      <c r="G81" s="7"/>
    </row>
    <row r="82" spans="1:7" ht="15" thickBot="1" x14ac:dyDescent="0.35">
      <c r="A82" s="7"/>
      <c r="B82" s="56"/>
      <c r="C82" s="7"/>
      <c r="D82" s="7"/>
      <c r="E82" s="7"/>
      <c r="F82" s="75"/>
      <c r="G82" s="7"/>
    </row>
    <row r="83" spans="1:7" ht="15.6" thickTop="1" thickBot="1" x14ac:dyDescent="0.35">
      <c r="A83" s="7"/>
      <c r="B83" s="56"/>
      <c r="C83" s="7"/>
      <c r="D83" s="140" t="s">
        <v>109</v>
      </c>
      <c r="E83" s="141">
        <f>IF(D14="YES",ROUND((D81)*D79*D76,-3),0)</f>
        <v>0</v>
      </c>
      <c r="F83" s="75"/>
      <c r="G83" s="7"/>
    </row>
    <row r="84" spans="1:7" ht="15" thickTop="1" x14ac:dyDescent="0.3">
      <c r="A84" s="7"/>
      <c r="B84" s="60"/>
      <c r="C84" s="132"/>
      <c r="D84" s="132"/>
      <c r="E84" s="132"/>
      <c r="F84" s="99"/>
      <c r="G84" s="7"/>
    </row>
    <row r="85" spans="1:7" x14ac:dyDescent="0.3">
      <c r="A85" s="7"/>
      <c r="B85" s="7"/>
      <c r="C85" s="7"/>
      <c r="D85" s="7"/>
      <c r="E85" s="7"/>
      <c r="F85" s="7"/>
      <c r="G85" s="7"/>
    </row>
    <row r="86" spans="1:7" x14ac:dyDescent="0.3">
      <c r="A86" s="7"/>
      <c r="B86" s="55" t="s">
        <v>65</v>
      </c>
      <c r="C86" s="82"/>
      <c r="D86" s="82"/>
      <c r="E86" s="82"/>
      <c r="F86" s="100"/>
      <c r="G86" s="7"/>
    </row>
    <row r="87" spans="1:7" x14ac:dyDescent="0.3">
      <c r="A87" s="7"/>
      <c r="B87" s="58"/>
      <c r="C87" s="7"/>
      <c r="D87" s="7"/>
      <c r="E87" s="7"/>
      <c r="F87" s="75"/>
      <c r="G87" s="7"/>
    </row>
    <row r="88" spans="1:7" ht="29.25" customHeight="1" x14ac:dyDescent="0.3">
      <c r="A88" s="7"/>
      <c r="B88" s="56" t="s">
        <v>49</v>
      </c>
      <c r="C88" s="317" t="s">
        <v>206</v>
      </c>
      <c r="D88" s="317"/>
      <c r="E88" s="317"/>
      <c r="F88" s="75"/>
      <c r="G88" s="7"/>
    </row>
    <row r="89" spans="1:7" x14ac:dyDescent="0.3">
      <c r="A89" s="7"/>
      <c r="B89" s="57"/>
      <c r="C89" s="7"/>
      <c r="D89" s="49">
        <f>D60</f>
        <v>0</v>
      </c>
      <c r="E89" s="7" t="s">
        <v>101</v>
      </c>
      <c r="F89" s="75"/>
      <c r="G89" s="7"/>
    </row>
    <row r="90" spans="1:7" x14ac:dyDescent="0.3">
      <c r="A90" s="7"/>
      <c r="B90" s="57"/>
      <c r="C90" s="7"/>
      <c r="D90" s="144"/>
      <c r="E90" s="7"/>
      <c r="F90" s="75"/>
      <c r="G90" s="7"/>
    </row>
    <row r="91" spans="1:7" ht="29.25" customHeight="1" x14ac:dyDescent="0.3">
      <c r="A91" s="7"/>
      <c r="B91" s="57" t="s">
        <v>118</v>
      </c>
      <c r="C91" s="317" t="s">
        <v>447</v>
      </c>
      <c r="D91" s="317"/>
      <c r="E91" s="317"/>
      <c r="F91" s="75"/>
      <c r="G91" s="7"/>
    </row>
    <row r="92" spans="1:7" x14ac:dyDescent="0.3">
      <c r="A92" s="7"/>
      <c r="B92" s="57"/>
      <c r="C92" s="7"/>
      <c r="D92" s="147">
        <f>D79</f>
        <v>0</v>
      </c>
      <c r="E92" s="7" t="s">
        <v>106</v>
      </c>
      <c r="F92" s="75"/>
      <c r="G92" s="7"/>
    </row>
    <row r="93" spans="1:7" x14ac:dyDescent="0.3">
      <c r="A93" s="7"/>
      <c r="B93" s="57"/>
      <c r="C93" s="7"/>
      <c r="D93" s="7"/>
      <c r="E93" s="7"/>
      <c r="F93" s="75"/>
      <c r="G93" s="7"/>
    </row>
    <row r="94" spans="1:7" ht="49.5" customHeight="1" x14ac:dyDescent="0.3">
      <c r="A94" s="7"/>
      <c r="B94" s="57" t="s">
        <v>119</v>
      </c>
      <c r="C94" s="359" t="s">
        <v>179</v>
      </c>
      <c r="D94" s="359"/>
      <c r="E94" s="359"/>
      <c r="F94" s="75"/>
      <c r="G94" s="7"/>
    </row>
    <row r="95" spans="1:7" x14ac:dyDescent="0.3">
      <c r="A95" s="7"/>
      <c r="B95" s="57"/>
      <c r="C95" s="108"/>
      <c r="D95" s="26">
        <f>PARAMETERS!E23</f>
        <v>7.0000000000000007E-2</v>
      </c>
      <c r="E95" s="22" t="s">
        <v>112</v>
      </c>
      <c r="F95" s="75"/>
      <c r="G95" s="7"/>
    </row>
    <row r="96" spans="1:7" x14ac:dyDescent="0.3">
      <c r="A96" s="7"/>
      <c r="B96" s="57"/>
      <c r="C96" s="108"/>
      <c r="D96" s="22"/>
      <c r="E96" s="22"/>
      <c r="F96" s="75"/>
      <c r="G96" s="7"/>
    </row>
    <row r="97" spans="1:7" x14ac:dyDescent="0.3">
      <c r="A97" s="7"/>
      <c r="B97" s="57" t="s">
        <v>123</v>
      </c>
      <c r="C97" s="28" t="s">
        <v>120</v>
      </c>
      <c r="D97" s="27">
        <f>D95*D92*60</f>
        <v>0</v>
      </c>
      <c r="E97" s="22" t="s">
        <v>113</v>
      </c>
      <c r="F97" s="75"/>
      <c r="G97" s="7"/>
    </row>
    <row r="98" spans="1:7" x14ac:dyDescent="0.3">
      <c r="A98" s="7"/>
      <c r="B98" s="57"/>
      <c r="C98" s="28"/>
      <c r="D98" s="22"/>
      <c r="E98" s="22"/>
      <c r="F98" s="75"/>
      <c r="G98" s="7"/>
    </row>
    <row r="99" spans="1:7" x14ac:dyDescent="0.3">
      <c r="A99" s="7"/>
      <c r="B99" s="57" t="s">
        <v>124</v>
      </c>
      <c r="C99" s="29" t="s">
        <v>121</v>
      </c>
      <c r="D99" s="26">
        <f>PARAMETERS!E22</f>
        <v>2.13</v>
      </c>
      <c r="E99" s="22" t="s">
        <v>114</v>
      </c>
      <c r="F99" s="75"/>
      <c r="G99" s="7"/>
    </row>
    <row r="100" spans="1:7" ht="15" thickBot="1" x14ac:dyDescent="0.35">
      <c r="A100" s="7"/>
      <c r="B100" s="58"/>
      <c r="C100" s="29"/>
      <c r="D100" s="22"/>
      <c r="E100" s="22"/>
      <c r="F100" s="75"/>
      <c r="G100" s="7"/>
    </row>
    <row r="101" spans="1:7" ht="15.6" thickTop="1" thickBot="1" x14ac:dyDescent="0.35">
      <c r="A101" s="7"/>
      <c r="B101" s="58"/>
      <c r="C101" s="29"/>
      <c r="D101" s="140" t="s">
        <v>125</v>
      </c>
      <c r="E101" s="141">
        <f>D99*D97</f>
        <v>0</v>
      </c>
      <c r="F101" s="75"/>
      <c r="G101" s="7"/>
    </row>
    <row r="102" spans="1:7" ht="15" thickTop="1" x14ac:dyDescent="0.3">
      <c r="A102" s="7"/>
      <c r="B102" s="58"/>
      <c r="C102" s="25"/>
      <c r="D102" s="23"/>
      <c r="E102" s="23"/>
      <c r="F102" s="75"/>
      <c r="G102" s="7"/>
    </row>
    <row r="103" spans="1:7" x14ac:dyDescent="0.3">
      <c r="A103" s="7"/>
      <c r="B103" s="57" t="s">
        <v>126</v>
      </c>
      <c r="C103" s="107" t="s">
        <v>180</v>
      </c>
      <c r="D103" s="26">
        <f>PARAMETERS!E24</f>
        <v>8.9200000000000008E-3</v>
      </c>
      <c r="E103" s="15" t="s">
        <v>115</v>
      </c>
      <c r="F103" s="75"/>
      <c r="G103" s="7"/>
    </row>
    <row r="104" spans="1:7" x14ac:dyDescent="0.3">
      <c r="A104" s="7"/>
      <c r="B104" s="57"/>
      <c r="C104" s="107"/>
      <c r="D104" s="24"/>
      <c r="E104" s="15"/>
      <c r="F104" s="75"/>
      <c r="G104" s="7"/>
    </row>
    <row r="105" spans="1:7" ht="28.8" x14ac:dyDescent="0.3">
      <c r="A105" s="7"/>
      <c r="B105" s="57" t="s">
        <v>127</v>
      </c>
      <c r="C105" s="107" t="s">
        <v>129</v>
      </c>
      <c r="D105" s="27">
        <f>D103*D97</f>
        <v>0</v>
      </c>
      <c r="E105" s="15" t="s">
        <v>116</v>
      </c>
      <c r="F105" s="75"/>
      <c r="G105" s="7"/>
    </row>
    <row r="106" spans="1:7" x14ac:dyDescent="0.3">
      <c r="A106" s="7"/>
      <c r="B106" s="57"/>
      <c r="C106" s="107"/>
      <c r="D106" s="24"/>
      <c r="E106" s="15"/>
      <c r="F106" s="75"/>
      <c r="G106" s="7"/>
    </row>
    <row r="107" spans="1:7" x14ac:dyDescent="0.3">
      <c r="A107" s="7"/>
      <c r="B107" s="57" t="s">
        <v>128</v>
      </c>
      <c r="C107" s="30" t="s">
        <v>184</v>
      </c>
      <c r="D107" s="278">
        <f>PARAMETERS!E25</f>
        <v>28.24</v>
      </c>
      <c r="E107" s="7" t="s">
        <v>117</v>
      </c>
      <c r="F107" s="75"/>
      <c r="G107" s="7"/>
    </row>
    <row r="108" spans="1:7" ht="15" thickBot="1" x14ac:dyDescent="0.35">
      <c r="A108" s="7"/>
      <c r="B108" s="58"/>
      <c r="C108" s="22"/>
      <c r="D108" s="22"/>
      <c r="E108" s="22"/>
      <c r="F108" s="75"/>
      <c r="G108" s="7"/>
    </row>
    <row r="109" spans="1:7" ht="15.6" thickTop="1" thickBot="1" x14ac:dyDescent="0.35">
      <c r="A109" s="7"/>
      <c r="B109" s="58"/>
      <c r="C109" s="25"/>
      <c r="D109" s="140" t="s">
        <v>125</v>
      </c>
      <c r="E109" s="141">
        <f>D107*D105</f>
        <v>0</v>
      </c>
      <c r="F109" s="75"/>
      <c r="G109" s="7"/>
    </row>
    <row r="110" spans="1:7" ht="15.6" thickTop="1" thickBot="1" x14ac:dyDescent="0.35">
      <c r="A110" s="7"/>
      <c r="B110" s="58"/>
      <c r="C110" s="25"/>
      <c r="D110" s="140"/>
      <c r="E110" s="23"/>
      <c r="F110" s="75"/>
      <c r="G110" s="7"/>
    </row>
    <row r="111" spans="1:7" ht="15.6" thickTop="1" thickBot="1" x14ac:dyDescent="0.35">
      <c r="A111" s="7"/>
      <c r="B111" s="58"/>
      <c r="C111" s="7"/>
      <c r="D111" s="140" t="s">
        <v>130</v>
      </c>
      <c r="E111" s="141">
        <f>IF(D15="YES",E109+E101,0)</f>
        <v>0</v>
      </c>
      <c r="F111" s="75"/>
      <c r="G111" s="7"/>
    </row>
    <row r="112" spans="1:7" ht="15" thickTop="1" x14ac:dyDescent="0.3">
      <c r="A112" s="7"/>
      <c r="B112" s="60"/>
      <c r="C112" s="132"/>
      <c r="D112" s="132"/>
      <c r="E112" s="132"/>
      <c r="F112" s="99"/>
      <c r="G112" s="7"/>
    </row>
    <row r="113" spans="1:7" ht="15" thickBot="1" x14ac:dyDescent="0.35">
      <c r="A113" s="7"/>
      <c r="B113" s="7"/>
      <c r="C113" s="7"/>
      <c r="D113" s="7"/>
      <c r="E113" s="7"/>
      <c r="F113" s="7"/>
      <c r="G113" s="7"/>
    </row>
    <row r="114" spans="1:7" ht="19.2" thickTop="1" thickBot="1" x14ac:dyDescent="0.35">
      <c r="A114" s="7"/>
      <c r="B114" s="7"/>
      <c r="C114" s="7"/>
      <c r="D114" s="94" t="s">
        <v>132</v>
      </c>
      <c r="E114" s="93">
        <f>ROUND(SUM(E111,E83,E54),-2)</f>
        <v>0</v>
      </c>
      <c r="F114" s="7"/>
      <c r="G114" s="7"/>
    </row>
    <row r="115" spans="1:7" ht="15" thickTop="1" x14ac:dyDescent="0.3">
      <c r="A115" s="7"/>
      <c r="B115" s="7"/>
      <c r="C115" s="7"/>
      <c r="D115" s="7"/>
      <c r="E115" s="7"/>
      <c r="F115" s="7"/>
      <c r="G115" s="7"/>
    </row>
    <row r="116" spans="1:7" x14ac:dyDescent="0.3">
      <c r="A116" s="7"/>
      <c r="B116" s="7"/>
      <c r="C116" s="7"/>
      <c r="D116" s="7"/>
      <c r="E116" s="7"/>
      <c r="F116" s="7"/>
      <c r="G116" s="7"/>
    </row>
  </sheetData>
  <mergeCells count="17">
    <mergeCell ref="C88:E88"/>
    <mergeCell ref="C91:E91"/>
    <mergeCell ref="C94:E94"/>
    <mergeCell ref="C37:E37"/>
    <mergeCell ref="C40:E40"/>
    <mergeCell ref="C47:E47"/>
    <mergeCell ref="C59:E59"/>
    <mergeCell ref="C78:E78"/>
    <mergeCell ref="C62:E62"/>
    <mergeCell ref="C23:E23"/>
    <mergeCell ref="C30:E30"/>
    <mergeCell ref="C12:E12"/>
    <mergeCell ref="C2:E2"/>
    <mergeCell ref="D5:E5"/>
    <mergeCell ref="D6:E6"/>
    <mergeCell ref="D7:E7"/>
    <mergeCell ref="D10:E10"/>
  </mergeCells>
  <conditionalFormatting sqref="B57:F58 B59 F59 B60:F61 B82:F84 B81 F81 F62 B63:F66 B69:F80 F68 D67:F67 B68:C68">
    <cfRule type="expression" dxfId="260" priority="73">
      <formula>$D$14="NO"</formula>
    </cfRule>
  </conditionalFormatting>
  <conditionalFormatting sqref="B86:F87 B89:F98 B88 F88 B100:F112 B99:C99 E99:F99">
    <cfRule type="expression" dxfId="259" priority="46">
      <formula>$D$15="NO"</formula>
    </cfRule>
  </conditionalFormatting>
  <conditionalFormatting sqref="B18:F19 F37 D20:F20 B38:F55 B21:F36">
    <cfRule type="expression" dxfId="258" priority="26">
      <formula>$D$13="NO"</formula>
    </cfRule>
  </conditionalFormatting>
  <conditionalFormatting sqref="D114">
    <cfRule type="expression" dxfId="257" priority="25">
      <formula>$D$13="NO"</formula>
    </cfRule>
  </conditionalFormatting>
  <conditionalFormatting sqref="D114">
    <cfRule type="expression" dxfId="256" priority="24">
      <formula>"($C$15='NO')"</formula>
    </cfRule>
  </conditionalFormatting>
  <conditionalFormatting sqref="E114">
    <cfRule type="expression" dxfId="255" priority="22">
      <formula>$D$13="NO"</formula>
    </cfRule>
  </conditionalFormatting>
  <conditionalFormatting sqref="E114">
    <cfRule type="expression" dxfId="254" priority="23">
      <formula>"($C$15='NO')"</formula>
    </cfRule>
  </conditionalFormatting>
  <conditionalFormatting sqref="B37:C37">
    <cfRule type="expression" dxfId="253" priority="17">
      <formula>$D$13="NO"</formula>
    </cfRule>
  </conditionalFormatting>
  <conditionalFormatting sqref="C88:E88">
    <cfRule type="expression" dxfId="252" priority="15">
      <formula>$D$14="NO"</formula>
    </cfRule>
  </conditionalFormatting>
  <conditionalFormatting sqref="B20:C20">
    <cfRule type="expression" dxfId="251" priority="14">
      <formula>"($C$15='NO')"</formula>
    </cfRule>
  </conditionalFormatting>
  <conditionalFormatting sqref="B20:C20">
    <cfRule type="expression" dxfId="250" priority="13">
      <formula>$D$13="NO"</formula>
    </cfRule>
  </conditionalFormatting>
  <conditionalFormatting sqref="B20">
    <cfRule type="expression" dxfId="249" priority="12">
      <formula>"($C$15='NO')"</formula>
    </cfRule>
  </conditionalFormatting>
  <conditionalFormatting sqref="D99">
    <cfRule type="expression" dxfId="248" priority="11">
      <formula>"($C$15='NO')"</formula>
    </cfRule>
  </conditionalFormatting>
  <conditionalFormatting sqref="C81">
    <cfRule type="expression" dxfId="247" priority="10">
      <formula>#REF!="NO"</formula>
    </cfRule>
  </conditionalFormatting>
  <conditionalFormatting sqref="C81">
    <cfRule type="expression" dxfId="246" priority="9">
      <formula>"($C$15='NO')"</formula>
    </cfRule>
  </conditionalFormatting>
  <conditionalFormatting sqref="D81:E81">
    <cfRule type="expression" dxfId="245" priority="8">
      <formula>"($C$15='NO')"</formula>
    </cfRule>
  </conditionalFormatting>
  <conditionalFormatting sqref="D81:E81">
    <cfRule type="expression" dxfId="244" priority="7">
      <formula>#REF!="NO"</formula>
    </cfRule>
  </conditionalFormatting>
  <conditionalFormatting sqref="C59:E59">
    <cfRule type="expression" dxfId="243" priority="6">
      <formula>$D$17="NO"</formula>
    </cfRule>
  </conditionalFormatting>
  <conditionalFormatting sqref="B62">
    <cfRule type="expression" dxfId="242" priority="5">
      <formula>$D$17="NO"</formula>
    </cfRule>
  </conditionalFormatting>
  <conditionalFormatting sqref="B67">
    <cfRule type="expression" dxfId="241" priority="3">
      <formula>$D$14="NO"</formula>
    </cfRule>
  </conditionalFormatting>
  <conditionalFormatting sqref="C62">
    <cfRule type="expression" dxfId="240" priority="2">
      <formula>$D$22="NO"</formula>
    </cfRule>
  </conditionalFormatting>
  <conditionalFormatting sqref="C67">
    <cfRule type="expression" dxfId="239" priority="1">
      <formula>$D$14="NO"</formula>
    </cfRule>
  </conditionalFormatting>
  <dataValidations count="1">
    <dataValidation allowBlank="1" showInputMessage="1" showErrorMessage="1" promptTitle="Urban or Rural" sqref="E48:E53 E41:E46 E38:E39 E31:E36 C30:C54 C23:E29"/>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pageSetUpPr fitToPage="1"/>
  </sheetPr>
  <dimension ref="A1:I35"/>
  <sheetViews>
    <sheetView view="pageBreakPreview" zoomScale="85" zoomScaleNormal="85" zoomScaleSheetLayoutView="85" workbookViewId="0">
      <selection activeCell="E14" sqref="E14"/>
    </sheetView>
  </sheetViews>
  <sheetFormatPr defaultColWidth="8.88671875" defaultRowHeight="14.4" x14ac:dyDescent="0.3"/>
  <cols>
    <col min="1" max="1" width="1.5546875" style="4" customWidth="1"/>
    <col min="2" max="2" width="11.88671875" style="4" customWidth="1"/>
    <col min="3" max="3" width="44.88671875" style="4" customWidth="1"/>
    <col min="4" max="4" width="11.44140625" style="4" customWidth="1"/>
    <col min="5" max="5" width="29" style="4" customWidth="1"/>
    <col min="6" max="6" width="1" style="4" customWidth="1"/>
    <col min="7" max="7" width="1.33203125" style="4" customWidth="1"/>
    <col min="8" max="9" width="9.109375" style="4" customWidth="1"/>
    <col min="10" max="16384" width="8.88671875" style="4"/>
  </cols>
  <sheetData>
    <row r="1" spans="1:8" x14ac:dyDescent="0.3">
      <c r="A1" s="7"/>
      <c r="B1" s="7"/>
      <c r="C1" s="277" t="s">
        <v>488</v>
      </c>
      <c r="D1" s="7"/>
      <c r="E1" s="7"/>
      <c r="F1" s="7"/>
      <c r="G1" s="7"/>
    </row>
    <row r="2" spans="1:8" ht="25.8" x14ac:dyDescent="0.3">
      <c r="A2" s="7"/>
      <c r="B2" s="7"/>
      <c r="C2" s="176" t="s">
        <v>70</v>
      </c>
      <c r="D2" s="162"/>
      <c r="E2" s="162"/>
      <c r="F2" s="7"/>
      <c r="G2" s="7"/>
    </row>
    <row r="3" spans="1:8" x14ac:dyDescent="0.3">
      <c r="A3" s="7"/>
      <c r="B3" s="7"/>
      <c r="C3" s="187" t="s">
        <v>247</v>
      </c>
      <c r="D3" s="7"/>
      <c r="E3" s="7"/>
      <c r="F3" s="7"/>
      <c r="G3" s="7"/>
    </row>
    <row r="4" spans="1:8" x14ac:dyDescent="0.3">
      <c r="A4" s="7"/>
      <c r="B4" s="7"/>
      <c r="C4" s="7"/>
      <c r="D4" s="7"/>
      <c r="E4" s="7"/>
      <c r="F4" s="7"/>
      <c r="G4" s="7"/>
    </row>
    <row r="5" spans="1:8" x14ac:dyDescent="0.3">
      <c r="A5" s="7"/>
      <c r="B5" s="7"/>
      <c r="C5" s="20" t="s">
        <v>2</v>
      </c>
      <c r="D5" s="321"/>
      <c r="E5" s="321"/>
      <c r="F5" s="7"/>
      <c r="G5" s="7"/>
    </row>
    <row r="6" spans="1:8" x14ac:dyDescent="0.3">
      <c r="A6" s="7"/>
      <c r="B6" s="7"/>
      <c r="C6" s="20" t="s">
        <v>0</v>
      </c>
      <c r="D6" s="321"/>
      <c r="E6" s="321"/>
      <c r="F6" s="7"/>
      <c r="G6" s="7"/>
    </row>
    <row r="7" spans="1:8" x14ac:dyDescent="0.3">
      <c r="A7" s="7"/>
      <c r="B7" s="7"/>
      <c r="C7" s="20" t="s">
        <v>160</v>
      </c>
      <c r="D7" s="321"/>
      <c r="E7" s="321"/>
      <c r="F7" s="7"/>
      <c r="G7" s="7"/>
    </row>
    <row r="8" spans="1:8" x14ac:dyDescent="0.3">
      <c r="A8" s="7"/>
      <c r="B8" s="7"/>
      <c r="C8" s="7"/>
      <c r="D8" s="20"/>
      <c r="E8" s="7"/>
      <c r="F8" s="7"/>
      <c r="G8" s="7"/>
    </row>
    <row r="9" spans="1:8" x14ac:dyDescent="0.3">
      <c r="A9" s="7"/>
      <c r="B9" s="7"/>
      <c r="C9" s="7"/>
      <c r="D9" s="20"/>
      <c r="E9" s="7"/>
      <c r="F9" s="7"/>
      <c r="G9" s="7"/>
    </row>
    <row r="10" spans="1:8" x14ac:dyDescent="0.3">
      <c r="A10" s="7"/>
      <c r="B10" s="50">
        <v>1</v>
      </c>
      <c r="C10" s="19" t="s">
        <v>233</v>
      </c>
      <c r="D10" s="355"/>
      <c r="E10" s="355"/>
      <c r="F10" s="7"/>
      <c r="G10" s="7"/>
    </row>
    <row r="11" spans="1:8" x14ac:dyDescent="0.3">
      <c r="A11" s="7"/>
      <c r="B11" s="50"/>
      <c r="C11" s="19"/>
      <c r="D11" s="19"/>
      <c r="E11" s="19"/>
      <c r="F11" s="7"/>
      <c r="G11" s="7"/>
    </row>
    <row r="12" spans="1:8" x14ac:dyDescent="0.3">
      <c r="A12" s="7"/>
      <c r="B12" s="50">
        <v>2</v>
      </c>
      <c r="C12" s="317" t="s">
        <v>5</v>
      </c>
      <c r="D12" s="317"/>
      <c r="E12" s="317"/>
      <c r="F12" s="7"/>
      <c r="G12" s="7"/>
      <c r="H12" s="222"/>
    </row>
    <row r="13" spans="1:8" x14ac:dyDescent="0.3">
      <c r="A13" s="7"/>
      <c r="B13" s="7"/>
      <c r="C13" s="20" t="s">
        <v>7</v>
      </c>
      <c r="D13" s="118"/>
      <c r="E13" s="7"/>
      <c r="F13" s="7"/>
      <c r="G13" s="7"/>
      <c r="H13" s="219"/>
    </row>
    <row r="14" spans="1:8" x14ac:dyDescent="0.3">
      <c r="A14" s="7"/>
      <c r="B14" s="7"/>
      <c r="C14" s="20" t="s">
        <v>20</v>
      </c>
      <c r="D14" s="118"/>
      <c r="E14" s="7"/>
      <c r="F14" s="7"/>
      <c r="G14" s="7"/>
    </row>
    <row r="15" spans="1:8" x14ac:dyDescent="0.3">
      <c r="A15" s="7"/>
      <c r="B15" s="7"/>
      <c r="C15" s="7"/>
      <c r="D15" s="7"/>
      <c r="E15" s="7"/>
      <c r="F15" s="7"/>
      <c r="G15" s="7"/>
    </row>
    <row r="16" spans="1:8" x14ac:dyDescent="0.3">
      <c r="A16" s="7"/>
      <c r="B16" s="7"/>
      <c r="C16" s="7"/>
      <c r="D16" s="7"/>
      <c r="E16" s="7"/>
      <c r="F16" s="7"/>
      <c r="G16" s="7"/>
    </row>
    <row r="17" spans="1:9" x14ac:dyDescent="0.3">
      <c r="A17" s="7"/>
      <c r="B17" s="55" t="s">
        <v>24</v>
      </c>
      <c r="C17" s="82"/>
      <c r="D17" s="82"/>
      <c r="E17" s="82"/>
      <c r="F17" s="100"/>
      <c r="G17" s="7"/>
      <c r="I17" s="7"/>
    </row>
    <row r="18" spans="1:9" x14ac:dyDescent="0.3">
      <c r="A18" s="7"/>
      <c r="B18" s="58"/>
      <c r="C18" s="7"/>
      <c r="D18" s="7"/>
      <c r="E18" s="7"/>
      <c r="F18" s="75"/>
      <c r="G18" s="58"/>
      <c r="H18" s="7"/>
      <c r="I18" s="7"/>
    </row>
    <row r="19" spans="1:9" x14ac:dyDescent="0.3">
      <c r="A19" s="7"/>
      <c r="B19" s="56" t="s">
        <v>25</v>
      </c>
      <c r="C19" s="352" t="s">
        <v>358</v>
      </c>
      <c r="D19" s="352"/>
      <c r="E19" s="352"/>
      <c r="F19" s="75"/>
      <c r="G19" s="58"/>
      <c r="H19" s="15"/>
      <c r="I19" s="7"/>
    </row>
    <row r="20" spans="1:9" x14ac:dyDescent="0.3">
      <c r="A20" s="7"/>
      <c r="B20" s="57"/>
      <c r="C20" s="7"/>
      <c r="D20" s="40"/>
      <c r="E20" s="7"/>
      <c r="F20" s="75"/>
      <c r="G20" s="58"/>
      <c r="H20" s="224"/>
      <c r="I20" s="7"/>
    </row>
    <row r="21" spans="1:9" x14ac:dyDescent="0.3">
      <c r="A21" s="7"/>
      <c r="B21" s="57"/>
      <c r="C21" s="7"/>
      <c r="D21" s="7"/>
      <c r="E21" s="7"/>
      <c r="F21" s="75"/>
      <c r="G21" s="58"/>
      <c r="H21" s="216"/>
      <c r="I21" s="7"/>
    </row>
    <row r="22" spans="1:9" x14ac:dyDescent="0.3">
      <c r="A22" s="7"/>
      <c r="B22" s="56" t="s">
        <v>110</v>
      </c>
      <c r="C22" s="352" t="s">
        <v>155</v>
      </c>
      <c r="D22" s="352"/>
      <c r="E22" s="352"/>
      <c r="F22" s="75"/>
      <c r="G22" s="58"/>
      <c r="H22" s="15"/>
      <c r="I22" s="7"/>
    </row>
    <row r="23" spans="1:9" x14ac:dyDescent="0.3">
      <c r="A23" s="7"/>
      <c r="B23" s="57"/>
      <c r="C23" s="7"/>
      <c r="D23" s="40"/>
      <c r="E23" s="7"/>
      <c r="F23" s="75"/>
      <c r="G23" s="58"/>
      <c r="H23" s="15"/>
      <c r="I23" s="7"/>
    </row>
    <row r="24" spans="1:9" ht="15" thickBot="1" x14ac:dyDescent="0.35">
      <c r="A24" s="7"/>
      <c r="B24" s="57"/>
      <c r="C24" s="7"/>
      <c r="D24" s="7"/>
      <c r="E24" s="7"/>
      <c r="F24" s="75"/>
      <c r="G24" s="7"/>
    </row>
    <row r="25" spans="1:9" ht="15.6" thickTop="1" thickBot="1" x14ac:dyDescent="0.35">
      <c r="A25" s="7"/>
      <c r="B25" s="57"/>
      <c r="C25" s="7"/>
      <c r="D25" s="140" t="s">
        <v>133</v>
      </c>
      <c r="E25" s="155">
        <f>'6 LED Replac Benefit'!E26</f>
        <v>0</v>
      </c>
      <c r="F25" s="75"/>
      <c r="G25" s="7"/>
    </row>
    <row r="26" spans="1:9" ht="15" thickTop="1" x14ac:dyDescent="0.3">
      <c r="A26" s="7"/>
      <c r="B26" s="60"/>
      <c r="C26" s="132"/>
      <c r="D26" s="132"/>
      <c r="E26" s="132"/>
      <c r="F26" s="99"/>
      <c r="G26" s="7"/>
    </row>
    <row r="27" spans="1:9" x14ac:dyDescent="0.3">
      <c r="A27" s="7"/>
      <c r="B27" s="158"/>
      <c r="C27" s="82"/>
      <c r="D27" s="82"/>
      <c r="E27" s="82"/>
      <c r="F27" s="82"/>
      <c r="G27" s="7"/>
    </row>
    <row r="28" spans="1:9" x14ac:dyDescent="0.3">
      <c r="A28" s="7"/>
      <c r="B28" s="55" t="s">
        <v>65</v>
      </c>
      <c r="C28" s="82"/>
      <c r="D28" s="82"/>
      <c r="E28" s="82"/>
      <c r="F28" s="100"/>
      <c r="G28" s="7"/>
    </row>
    <row r="29" spans="1:9" ht="15" thickBot="1" x14ac:dyDescent="0.35">
      <c r="A29" s="7"/>
      <c r="B29" s="57"/>
      <c r="C29" s="7"/>
      <c r="D29" s="7"/>
      <c r="E29" s="7"/>
      <c r="F29" s="75"/>
      <c r="G29" s="7"/>
    </row>
    <row r="30" spans="1:9" ht="15.6" thickTop="1" thickBot="1" x14ac:dyDescent="0.35">
      <c r="A30" s="7"/>
      <c r="B30" s="57"/>
      <c r="C30" s="7"/>
      <c r="D30" s="140" t="s">
        <v>131</v>
      </c>
      <c r="E30" s="159">
        <f>'6 LED Replac Benefit'!E42</f>
        <v>0</v>
      </c>
      <c r="F30" s="75"/>
      <c r="G30" s="7"/>
    </row>
    <row r="31" spans="1:9" ht="15" thickTop="1" x14ac:dyDescent="0.3">
      <c r="A31" s="7"/>
      <c r="B31" s="59"/>
      <c r="C31" s="132"/>
      <c r="D31" s="142"/>
      <c r="E31" s="160"/>
      <c r="F31" s="99"/>
      <c r="G31" s="7"/>
    </row>
    <row r="32" spans="1:9" ht="15" thickBot="1" x14ac:dyDescent="0.35">
      <c r="A32" s="7"/>
      <c r="B32" s="20"/>
      <c r="C32" s="7"/>
      <c r="D32" s="140"/>
      <c r="E32" s="161"/>
      <c r="F32" s="7"/>
      <c r="G32" s="7"/>
    </row>
    <row r="33" spans="1:7" ht="19.2" thickTop="1" thickBot="1" x14ac:dyDescent="0.35">
      <c r="A33" s="7"/>
      <c r="B33" s="20"/>
      <c r="C33" s="7"/>
      <c r="D33" s="94" t="s">
        <v>132</v>
      </c>
      <c r="E33" s="93">
        <f>ROUND(E30+E25,-2)</f>
        <v>0</v>
      </c>
      <c r="F33" s="7"/>
      <c r="G33" s="7"/>
    </row>
    <row r="34" spans="1:7" ht="19.2" thickTop="1" thickBot="1" x14ac:dyDescent="0.35">
      <c r="D34" s="94" t="s">
        <v>330</v>
      </c>
      <c r="E34" s="96" t="e">
        <f>E33/D10</f>
        <v>#DIV/0!</v>
      </c>
    </row>
    <row r="35" spans="1:7" ht="15" thickTop="1" x14ac:dyDescent="0.3"/>
  </sheetData>
  <mergeCells count="7">
    <mergeCell ref="C22:E22"/>
    <mergeCell ref="C19:E19"/>
    <mergeCell ref="C12:E12"/>
    <mergeCell ref="D5:E5"/>
    <mergeCell ref="D6:E6"/>
    <mergeCell ref="D7:E7"/>
    <mergeCell ref="D10:E10"/>
  </mergeCells>
  <conditionalFormatting sqref="B28:F31">
    <cfRule type="expression" dxfId="238" priority="8">
      <formula>$D$14="NO"</formula>
    </cfRule>
  </conditionalFormatting>
  <conditionalFormatting sqref="B17:F26">
    <cfRule type="expression" dxfId="237" priority="4">
      <formula>$D$13="NO"</formula>
    </cfRule>
  </conditionalFormatting>
  <dataValidations count="4">
    <dataValidation type="list" showInputMessage="1" showErrorMessage="1" sqref="D13:D14">
      <formula1>YES.NO</formula1>
    </dataValidation>
    <dataValidation type="whole" allowBlank="1" showInputMessage="1" showErrorMessage="1" sqref="D10">
      <formula1>0</formula1>
      <formula2>10000000</formula2>
    </dataValidation>
    <dataValidation type="whole" allowBlank="1" showInputMessage="1" showErrorMessage="1" sqref="D20:D21">
      <formula1>0</formula1>
      <formula2>100</formula2>
    </dataValidation>
    <dataValidation type="whole" allowBlank="1" showInputMessage="1" showErrorMessage="1" sqref="D23">
      <formula1>0</formula1>
      <formula2>500</formula2>
    </dataValidation>
  </dataValidations>
  <pageMargins left="0.7" right="0.7" top="0.75" bottom="0.75" header="0.3" footer="0.3"/>
  <pageSetup scale="89" fitToHeight="0"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Region">
          <x14:formula1>
            <xm:f>'drop-downs'!$I$2:$I$7</xm:f>
          </x14:formula1>
          <xm:sqref>D5:E5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G46"/>
  <sheetViews>
    <sheetView workbookViewId="0">
      <selection activeCell="E13" sqref="E13"/>
    </sheetView>
  </sheetViews>
  <sheetFormatPr defaultColWidth="8.88671875" defaultRowHeight="14.4" x14ac:dyDescent="0.3"/>
  <cols>
    <col min="1" max="1" width="1.33203125" style="4" customWidth="1"/>
    <col min="2" max="2" width="11.5546875" style="4" customWidth="1"/>
    <col min="3" max="3" width="44.88671875" style="4" customWidth="1"/>
    <col min="4" max="4" width="11.44140625" style="4" customWidth="1"/>
    <col min="5" max="5" width="29" style="4" customWidth="1"/>
    <col min="6" max="6" width="1" style="4" customWidth="1"/>
    <col min="7" max="7" width="1.109375" style="4" customWidth="1"/>
    <col min="8" max="8" width="10.109375" style="4" bestFit="1" customWidth="1"/>
    <col min="9" max="16384" width="8.88671875" style="4"/>
  </cols>
  <sheetData>
    <row r="1" spans="1:7" x14ac:dyDescent="0.3">
      <c r="A1" s="7"/>
      <c r="B1" s="7"/>
      <c r="C1" s="129" t="s">
        <v>239</v>
      </c>
      <c r="D1" s="162"/>
      <c r="E1" s="162"/>
      <c r="F1" s="7"/>
      <c r="G1" s="7"/>
    </row>
    <row r="2" spans="1:7" ht="25.8" x14ac:dyDescent="0.3">
      <c r="A2" s="7"/>
      <c r="B2" s="7"/>
      <c r="C2" s="371" t="s">
        <v>70</v>
      </c>
      <c r="D2" s="371"/>
      <c r="E2" s="371"/>
      <c r="F2" s="7"/>
      <c r="G2" s="7"/>
    </row>
    <row r="3" spans="1:7" x14ac:dyDescent="0.3">
      <c r="A3" s="7"/>
      <c r="B3" s="7"/>
      <c r="F3" s="7"/>
      <c r="G3" s="7"/>
    </row>
    <row r="4" spans="1:7" x14ac:dyDescent="0.3">
      <c r="A4" s="7"/>
      <c r="B4" s="7"/>
      <c r="C4" s="7"/>
      <c r="D4" s="7"/>
      <c r="E4" s="7"/>
      <c r="F4" s="7"/>
      <c r="G4" s="7"/>
    </row>
    <row r="5" spans="1:7" x14ac:dyDescent="0.3">
      <c r="A5" s="7"/>
      <c r="B5" s="7"/>
      <c r="C5" s="120" t="s">
        <v>2</v>
      </c>
      <c r="D5" s="363">
        <f>'6 LED Replace'!D5:E5</f>
        <v>0</v>
      </c>
      <c r="E5" s="363"/>
      <c r="F5" s="7"/>
      <c r="G5" s="7"/>
    </row>
    <row r="6" spans="1:7" x14ac:dyDescent="0.3">
      <c r="A6" s="7"/>
      <c r="B6" s="7"/>
      <c r="C6" s="120" t="s">
        <v>0</v>
      </c>
      <c r="D6" s="363">
        <f>'6 LED Replace'!D6:E6</f>
        <v>0</v>
      </c>
      <c r="E6" s="363"/>
      <c r="F6" s="7"/>
      <c r="G6" s="7"/>
    </row>
    <row r="7" spans="1:7" x14ac:dyDescent="0.3">
      <c r="A7" s="7"/>
      <c r="B7" s="7"/>
      <c r="C7" s="20" t="s">
        <v>160</v>
      </c>
      <c r="D7" s="363">
        <f>'6 LED Replace'!D7:E7</f>
        <v>0</v>
      </c>
      <c r="E7" s="363"/>
      <c r="F7" s="7"/>
      <c r="G7" s="7"/>
    </row>
    <row r="8" spans="1:7" x14ac:dyDescent="0.3">
      <c r="A8" s="7"/>
      <c r="B8" s="7"/>
      <c r="C8" s="15"/>
      <c r="D8" s="120"/>
      <c r="E8" s="15"/>
      <c r="F8" s="7"/>
      <c r="G8" s="7"/>
    </row>
    <row r="9" spans="1:7" x14ac:dyDescent="0.3">
      <c r="A9" s="7"/>
      <c r="B9" s="7"/>
      <c r="C9" s="15"/>
      <c r="D9" s="120"/>
      <c r="E9" s="15"/>
      <c r="F9" s="7"/>
      <c r="G9" s="7"/>
    </row>
    <row r="10" spans="1:7" x14ac:dyDescent="0.3">
      <c r="A10" s="7"/>
      <c r="B10" s="50">
        <v>1</v>
      </c>
      <c r="C10" s="19" t="s">
        <v>233</v>
      </c>
      <c r="D10" s="374">
        <f>'6 LED Replace'!D10:E10</f>
        <v>0</v>
      </c>
      <c r="E10" s="374"/>
      <c r="F10" s="7"/>
      <c r="G10" s="7"/>
    </row>
    <row r="11" spans="1:7" x14ac:dyDescent="0.3">
      <c r="A11" s="7"/>
      <c r="B11" s="50"/>
      <c r="C11" s="38"/>
      <c r="D11" s="14"/>
      <c r="E11" s="15"/>
      <c r="F11" s="7"/>
      <c r="G11" s="7"/>
    </row>
    <row r="12" spans="1:7" x14ac:dyDescent="0.3">
      <c r="A12" s="7"/>
      <c r="B12" s="50">
        <v>2</v>
      </c>
      <c r="C12" s="360" t="s">
        <v>5</v>
      </c>
      <c r="D12" s="360"/>
      <c r="E12" s="360"/>
      <c r="F12" s="7"/>
      <c r="G12" s="7"/>
    </row>
    <row r="13" spans="1:7" x14ac:dyDescent="0.3">
      <c r="A13" s="7"/>
      <c r="B13" s="7"/>
      <c r="C13" s="120" t="s">
        <v>7</v>
      </c>
      <c r="D13" s="52">
        <f>'6 LED Replace'!D13</f>
        <v>0</v>
      </c>
      <c r="E13" s="15"/>
      <c r="F13" s="7"/>
      <c r="G13" s="7"/>
    </row>
    <row r="14" spans="1:7" x14ac:dyDescent="0.3">
      <c r="A14" s="7"/>
      <c r="B14" s="7"/>
      <c r="C14" s="120" t="s">
        <v>20</v>
      </c>
      <c r="D14" s="52">
        <f>'6 LED Replace'!D14</f>
        <v>0</v>
      </c>
      <c r="E14" s="15"/>
      <c r="F14" s="7"/>
      <c r="G14" s="7"/>
    </row>
    <row r="15" spans="1:7" x14ac:dyDescent="0.3">
      <c r="A15" s="7"/>
      <c r="B15" s="7"/>
      <c r="C15" s="7"/>
      <c r="D15" s="7"/>
      <c r="E15" s="7"/>
      <c r="F15" s="7"/>
      <c r="G15" s="7"/>
    </row>
    <row r="16" spans="1:7" x14ac:dyDescent="0.3">
      <c r="A16" s="7"/>
      <c r="B16" s="7"/>
      <c r="C16" s="7"/>
      <c r="D16" s="7"/>
      <c r="E16" s="7"/>
      <c r="F16" s="7"/>
      <c r="G16" s="7"/>
    </row>
    <row r="17" spans="1:7" x14ac:dyDescent="0.3">
      <c r="A17" s="7"/>
      <c r="B17" s="55" t="s">
        <v>24</v>
      </c>
      <c r="C17" s="82"/>
      <c r="D17" s="82"/>
      <c r="E17" s="82"/>
      <c r="F17" s="100"/>
      <c r="G17" s="7"/>
    </row>
    <row r="18" spans="1:7" x14ac:dyDescent="0.3">
      <c r="A18" s="7"/>
      <c r="B18" s="58"/>
      <c r="C18" s="7"/>
      <c r="D18" s="7"/>
      <c r="E18" s="7"/>
      <c r="F18" s="75"/>
      <c r="G18" s="7"/>
    </row>
    <row r="19" spans="1:7" x14ac:dyDescent="0.3">
      <c r="A19" s="7"/>
      <c r="B19" s="56" t="s">
        <v>25</v>
      </c>
      <c r="C19" s="352" t="s">
        <v>358</v>
      </c>
      <c r="D19" s="352"/>
      <c r="E19" s="352"/>
      <c r="F19" s="75"/>
      <c r="G19" s="7"/>
    </row>
    <row r="20" spans="1:7" x14ac:dyDescent="0.3">
      <c r="A20" s="7"/>
      <c r="B20" s="57"/>
      <c r="C20" s="7"/>
      <c r="D20" s="40">
        <f>'6 LED Replace'!D20</f>
        <v>0</v>
      </c>
      <c r="E20" s="7"/>
      <c r="F20" s="75"/>
      <c r="G20" s="7"/>
    </row>
    <row r="21" spans="1:7" x14ac:dyDescent="0.3">
      <c r="A21" s="7"/>
      <c r="B21" s="56" t="s">
        <v>110</v>
      </c>
      <c r="C21" s="7" t="s">
        <v>252</v>
      </c>
      <c r="D21" s="7"/>
      <c r="E21" s="7"/>
      <c r="F21" s="75"/>
      <c r="G21" s="7"/>
    </row>
    <row r="22" spans="1:7" x14ac:dyDescent="0.3">
      <c r="A22" s="7"/>
      <c r="B22" s="57"/>
      <c r="C22" s="7"/>
      <c r="D22" s="182">
        <f>PARAMETERS!E26</f>
        <v>7000</v>
      </c>
      <c r="E22" s="7"/>
      <c r="F22" s="75"/>
      <c r="G22" s="7"/>
    </row>
    <row r="23" spans="1:7" ht="45.75" customHeight="1" x14ac:dyDescent="0.3">
      <c r="A23" s="7"/>
      <c r="B23" s="56" t="s">
        <v>156</v>
      </c>
      <c r="C23" s="317" t="s">
        <v>199</v>
      </c>
      <c r="D23" s="317"/>
      <c r="E23" s="317"/>
      <c r="F23" s="75"/>
      <c r="G23" s="7"/>
    </row>
    <row r="24" spans="1:7" x14ac:dyDescent="0.3">
      <c r="A24" s="7"/>
      <c r="B24" s="56"/>
      <c r="C24" s="7"/>
      <c r="D24" s="183">
        <f>D22*(6/7)</f>
        <v>6000</v>
      </c>
      <c r="E24" s="7"/>
      <c r="F24" s="75"/>
      <c r="G24" s="7"/>
    </row>
    <row r="25" spans="1:7" ht="15" thickBot="1" x14ac:dyDescent="0.35">
      <c r="A25" s="7"/>
      <c r="B25" s="57"/>
      <c r="C25" s="20"/>
      <c r="D25" s="20"/>
      <c r="E25" s="20"/>
      <c r="F25" s="75"/>
      <c r="G25" s="7"/>
    </row>
    <row r="26" spans="1:7" ht="15.6" thickTop="1" thickBot="1" x14ac:dyDescent="0.35">
      <c r="A26" s="7"/>
      <c r="B26" s="57"/>
      <c r="C26" s="7"/>
      <c r="D26" s="140" t="s">
        <v>133</v>
      </c>
      <c r="E26" s="141">
        <f>IF(D13="YES",D24*D20,0)</f>
        <v>0</v>
      </c>
      <c r="F26" s="75"/>
      <c r="G26" s="7"/>
    </row>
    <row r="27" spans="1:7" ht="15" thickTop="1" x14ac:dyDescent="0.3">
      <c r="A27" s="7"/>
      <c r="B27" s="58"/>
      <c r="C27" s="7"/>
      <c r="D27" s="7"/>
      <c r="E27" s="7"/>
      <c r="F27" s="75"/>
      <c r="G27" s="7"/>
    </row>
    <row r="28" spans="1:7" x14ac:dyDescent="0.3">
      <c r="A28" s="7"/>
      <c r="B28" s="175"/>
      <c r="C28" s="82"/>
      <c r="D28" s="82"/>
      <c r="E28" s="82"/>
      <c r="F28" s="82"/>
      <c r="G28" s="7"/>
    </row>
    <row r="29" spans="1:7" x14ac:dyDescent="0.3">
      <c r="A29" s="7"/>
      <c r="B29" s="7"/>
      <c r="C29" s="7"/>
      <c r="D29" s="7"/>
      <c r="E29" s="7"/>
      <c r="F29" s="7"/>
      <c r="G29" s="7"/>
    </row>
    <row r="30" spans="1:7" x14ac:dyDescent="0.3">
      <c r="A30" s="7"/>
      <c r="B30" s="7"/>
      <c r="C30" s="7"/>
      <c r="D30" s="7"/>
      <c r="E30" s="7"/>
      <c r="F30" s="7"/>
      <c r="G30" s="7"/>
    </row>
    <row r="31" spans="1:7" x14ac:dyDescent="0.3">
      <c r="A31" s="7"/>
      <c r="B31" s="55" t="s">
        <v>65</v>
      </c>
      <c r="C31" s="82"/>
      <c r="D31" s="82"/>
      <c r="E31" s="82"/>
      <c r="F31" s="100"/>
      <c r="G31" s="7"/>
    </row>
    <row r="32" spans="1:7" x14ac:dyDescent="0.3">
      <c r="A32" s="7"/>
      <c r="B32" s="58"/>
      <c r="C32" s="7"/>
      <c r="D32" s="7"/>
      <c r="E32" s="7"/>
      <c r="F32" s="75"/>
      <c r="G32" s="7"/>
    </row>
    <row r="33" spans="1:7" x14ac:dyDescent="0.3">
      <c r="A33" s="7"/>
      <c r="B33" s="56" t="s">
        <v>49</v>
      </c>
      <c r="C33" s="352" t="s">
        <v>155</v>
      </c>
      <c r="D33" s="352"/>
      <c r="E33" s="352"/>
      <c r="F33" s="75"/>
      <c r="G33" s="7"/>
    </row>
    <row r="34" spans="1:7" x14ac:dyDescent="0.3">
      <c r="A34" s="7"/>
      <c r="B34" s="57"/>
      <c r="C34" s="7"/>
      <c r="D34" s="40">
        <f>'6 LED Replace'!D23</f>
        <v>0</v>
      </c>
      <c r="E34" s="7"/>
      <c r="F34" s="75"/>
      <c r="G34" s="7"/>
    </row>
    <row r="35" spans="1:7" x14ac:dyDescent="0.3">
      <c r="A35" s="7"/>
      <c r="B35" s="56" t="s">
        <v>118</v>
      </c>
      <c r="C35" s="352" t="s">
        <v>200</v>
      </c>
      <c r="D35" s="352"/>
      <c r="E35" s="352"/>
      <c r="F35" s="75"/>
      <c r="G35" s="7"/>
    </row>
    <row r="36" spans="1:7" x14ac:dyDescent="0.3">
      <c r="A36" s="7"/>
      <c r="B36" s="56"/>
      <c r="C36" s="7"/>
      <c r="D36" s="184">
        <f>PARAMETERS!E27</f>
        <v>240.6</v>
      </c>
      <c r="E36" s="7" t="s">
        <v>159</v>
      </c>
      <c r="F36" s="75"/>
      <c r="G36" s="7"/>
    </row>
    <row r="37" spans="1:7" ht="30" customHeight="1" x14ac:dyDescent="0.3">
      <c r="A37" s="7"/>
      <c r="B37" s="56" t="s">
        <v>119</v>
      </c>
      <c r="C37" s="317" t="s">
        <v>201</v>
      </c>
      <c r="D37" s="317"/>
      <c r="E37" s="7"/>
      <c r="F37" s="75"/>
      <c r="G37" s="7"/>
    </row>
    <row r="38" spans="1:7" x14ac:dyDescent="0.3">
      <c r="A38" s="7"/>
      <c r="B38" s="58"/>
      <c r="C38" s="7"/>
      <c r="D38" s="185">
        <f>D36*0.9</f>
        <v>216.54</v>
      </c>
      <c r="E38" s="7" t="s">
        <v>159</v>
      </c>
      <c r="F38" s="75"/>
      <c r="G38" s="7"/>
    </row>
    <row r="39" spans="1:7" x14ac:dyDescent="0.3">
      <c r="A39" s="7"/>
      <c r="B39" s="56" t="s">
        <v>123</v>
      </c>
      <c r="C39" s="7" t="s">
        <v>157</v>
      </c>
      <c r="D39" s="7"/>
      <c r="E39" s="7"/>
      <c r="F39" s="75"/>
      <c r="G39" s="7"/>
    </row>
    <row r="40" spans="1:7" x14ac:dyDescent="0.3">
      <c r="A40" s="7"/>
      <c r="B40" s="56"/>
      <c r="C40" s="7"/>
      <c r="D40" s="186">
        <f>PARAMETERS!E28</f>
        <v>0.1</v>
      </c>
      <c r="E40" s="7" t="s">
        <v>158</v>
      </c>
      <c r="F40" s="75"/>
      <c r="G40" s="7"/>
    </row>
    <row r="41" spans="1:7" ht="15" thickBot="1" x14ac:dyDescent="0.35">
      <c r="A41" s="7"/>
      <c r="B41" s="58"/>
      <c r="C41" s="22"/>
      <c r="D41" s="22"/>
      <c r="E41" s="22"/>
      <c r="F41" s="75"/>
      <c r="G41" s="7"/>
    </row>
    <row r="42" spans="1:7" ht="15.6" thickTop="1" thickBot="1" x14ac:dyDescent="0.35">
      <c r="A42" s="7"/>
      <c r="B42" s="58"/>
      <c r="C42" s="7"/>
      <c r="D42" s="140" t="s">
        <v>130</v>
      </c>
      <c r="E42" s="141">
        <f>IF(D14="YES",D40*D38*D34*12,0)</f>
        <v>0</v>
      </c>
      <c r="F42" s="75"/>
      <c r="G42" s="7"/>
    </row>
    <row r="43" spans="1:7" ht="15" thickTop="1" x14ac:dyDescent="0.3">
      <c r="A43" s="7"/>
      <c r="B43" s="60"/>
      <c r="C43" s="132"/>
      <c r="D43" s="132"/>
      <c r="E43" s="132"/>
      <c r="F43" s="99"/>
      <c r="G43" s="7"/>
    </row>
    <row r="44" spans="1:7" ht="15" thickBot="1" x14ac:dyDescent="0.35">
      <c r="A44" s="7"/>
      <c r="B44" s="7"/>
      <c r="C44" s="7"/>
      <c r="D44" s="7"/>
      <c r="E44" s="7"/>
      <c r="F44" s="7"/>
      <c r="G44" s="7"/>
    </row>
    <row r="45" spans="1:7" ht="19.2" thickTop="1" thickBot="1" x14ac:dyDescent="0.35">
      <c r="A45" s="7"/>
      <c r="B45" s="7"/>
      <c r="C45" s="7"/>
      <c r="D45" s="94" t="s">
        <v>132</v>
      </c>
      <c r="E45" s="93">
        <f>ROUND(SUM(E42,E26),-2)</f>
        <v>0</v>
      </c>
      <c r="F45" s="7"/>
      <c r="G45" s="7"/>
    </row>
    <row r="46" spans="1:7" ht="15" thickTop="1" x14ac:dyDescent="0.3"/>
  </sheetData>
  <mergeCells count="11">
    <mergeCell ref="C23:E23"/>
    <mergeCell ref="C33:E33"/>
    <mergeCell ref="C37:D37"/>
    <mergeCell ref="C35:E35"/>
    <mergeCell ref="C19:E19"/>
    <mergeCell ref="C12:E12"/>
    <mergeCell ref="D10:E10"/>
    <mergeCell ref="C2:E2"/>
    <mergeCell ref="D5:E5"/>
    <mergeCell ref="D6:E6"/>
    <mergeCell ref="D7:E7"/>
  </mergeCells>
  <conditionalFormatting sqref="B28:E28">
    <cfRule type="expression" dxfId="236" priority="134">
      <formula>"($C$15='NO')"</formula>
    </cfRule>
  </conditionalFormatting>
  <conditionalFormatting sqref="B31:E32">
    <cfRule type="expression" dxfId="235" priority="133">
      <formula>"($C$15='NO')"</formula>
    </cfRule>
  </conditionalFormatting>
  <conditionalFormatting sqref="D42:E42">
    <cfRule type="expression" dxfId="234" priority="39">
      <formula>#REF!="NO"</formula>
    </cfRule>
  </conditionalFormatting>
  <conditionalFormatting sqref="E42">
    <cfRule type="expression" dxfId="233" priority="40">
      <formula>"($C$15='NO')"</formula>
    </cfRule>
  </conditionalFormatting>
  <conditionalFormatting sqref="D42">
    <cfRule type="expression" dxfId="232" priority="38">
      <formula>"($C$15='NO')"</formula>
    </cfRule>
  </conditionalFormatting>
  <conditionalFormatting sqref="B17:F18 B27:F27 B26:D26 B25:E25 B19:B24 F19:F26 D38">
    <cfRule type="expression" dxfId="231" priority="37">
      <formula>$D$13="NO"</formula>
    </cfRule>
  </conditionalFormatting>
  <conditionalFormatting sqref="E26">
    <cfRule type="expression" dxfId="230" priority="19">
      <formula>#REF!="NO"</formula>
    </cfRule>
  </conditionalFormatting>
  <conditionalFormatting sqref="E26">
    <cfRule type="expression" dxfId="229" priority="20">
      <formula>"($C$15='NO')"</formula>
    </cfRule>
  </conditionalFormatting>
  <conditionalFormatting sqref="D45">
    <cfRule type="expression" dxfId="228" priority="18">
      <formula>#REF!="NO"</formula>
    </cfRule>
  </conditionalFormatting>
  <conditionalFormatting sqref="D45">
    <cfRule type="expression" dxfId="227" priority="17">
      <formula>"($C$15='NO')"</formula>
    </cfRule>
  </conditionalFormatting>
  <conditionalFormatting sqref="E45">
    <cfRule type="expression" dxfId="226" priority="15">
      <formula>#REF!="NO"</formula>
    </cfRule>
  </conditionalFormatting>
  <conditionalFormatting sqref="E45">
    <cfRule type="expression" dxfId="225" priority="16">
      <formula>"($C$15='NO')"</formula>
    </cfRule>
  </conditionalFormatting>
  <conditionalFormatting sqref="D39:D40">
    <cfRule type="expression" dxfId="224" priority="10">
      <formula>$D$13="NO"</formula>
    </cfRule>
  </conditionalFormatting>
  <conditionalFormatting sqref="B34:E34 B33 C38 B35:C37 E36:E40 E21:E22 C21:C22 E24">
    <cfRule type="expression" dxfId="223" priority="13">
      <formula>$D$14="NO"</formula>
    </cfRule>
  </conditionalFormatting>
  <conditionalFormatting sqref="D36">
    <cfRule type="expression" dxfId="222" priority="12">
      <formula>$D$13="NO"</formula>
    </cfRule>
  </conditionalFormatting>
  <conditionalFormatting sqref="B39:C40">
    <cfRule type="expression" dxfId="221" priority="11">
      <formula>$D$14="NO"</formula>
    </cfRule>
  </conditionalFormatting>
  <conditionalFormatting sqref="C20:E20">
    <cfRule type="expression" dxfId="220" priority="8">
      <formula>$D$14="NO"</formula>
    </cfRule>
  </conditionalFormatting>
  <conditionalFormatting sqref="D21:D22">
    <cfRule type="expression" dxfId="219" priority="7">
      <formula>$D$13="NO"</formula>
    </cfRule>
  </conditionalFormatting>
  <conditionalFormatting sqref="C23:C24">
    <cfRule type="expression" dxfId="218" priority="6">
      <formula>$D$14="NO"</formula>
    </cfRule>
  </conditionalFormatting>
  <conditionalFormatting sqref="D24">
    <cfRule type="expression" dxfId="217" priority="5">
      <formula>$D$13="NO"</formula>
    </cfRule>
  </conditionalFormatting>
  <conditionalFormatting sqref="C33:E33">
    <cfRule type="expression" dxfId="216" priority="4">
      <formula>$D$14="NO"</formula>
    </cfRule>
  </conditionalFormatting>
  <conditionalFormatting sqref="C19:E19">
    <cfRule type="expression" dxfId="215" priority="1">
      <formula>$D$17="NO"</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B1:J52"/>
  <sheetViews>
    <sheetView zoomScaleNormal="100" zoomScaleSheetLayoutView="90" workbookViewId="0">
      <selection activeCell="C15" sqref="C15"/>
    </sheetView>
  </sheetViews>
  <sheetFormatPr defaultColWidth="8.88671875" defaultRowHeight="14.4" x14ac:dyDescent="0.3"/>
  <cols>
    <col min="1" max="1" width="1.5546875" style="4" customWidth="1"/>
    <col min="2" max="2" width="12" style="4" customWidth="1"/>
    <col min="3" max="3" width="44.88671875" style="4" customWidth="1"/>
    <col min="4" max="4" width="11.44140625" style="4" customWidth="1"/>
    <col min="5" max="5" width="31.88671875" style="4" customWidth="1"/>
    <col min="6" max="6" width="1.33203125" style="4" customWidth="1"/>
    <col min="7" max="7" width="1.5546875" style="4" customWidth="1"/>
    <col min="8" max="16384" width="8.88671875" style="4"/>
  </cols>
  <sheetData>
    <row r="1" spans="2:8" x14ac:dyDescent="0.3">
      <c r="C1" s="277" t="s">
        <v>488</v>
      </c>
    </row>
    <row r="2" spans="2:8" ht="23.4" x14ac:dyDescent="0.3">
      <c r="C2" s="181" t="s">
        <v>608</v>
      </c>
    </row>
    <row r="3" spans="2:8" ht="28.2" customHeight="1" x14ac:dyDescent="0.3">
      <c r="C3" s="379" t="s">
        <v>248</v>
      </c>
      <c r="D3" s="379"/>
      <c r="E3" s="379"/>
    </row>
    <row r="5" spans="2:8" x14ac:dyDescent="0.3">
      <c r="C5" s="6" t="s">
        <v>2</v>
      </c>
      <c r="D5" s="380" t="str">
        <f>IF('Project Information'!E5=0, "-",'Project Information'!E5)</f>
        <v>-</v>
      </c>
      <c r="E5" s="380"/>
    </row>
    <row r="6" spans="2:8" x14ac:dyDescent="0.3">
      <c r="C6" s="6" t="s">
        <v>0</v>
      </c>
      <c r="D6" s="380" t="str">
        <f>IF('Project Information'!E6=0, "-",'Project Information'!E6)</f>
        <v>-</v>
      </c>
      <c r="E6" s="380"/>
    </row>
    <row r="7" spans="2:8" x14ac:dyDescent="0.3">
      <c r="C7" s="20" t="s">
        <v>160</v>
      </c>
      <c r="D7" s="380" t="str">
        <f>IF('Project Information'!E7=0, "-",'Project Information'!E7)</f>
        <v>-</v>
      </c>
      <c r="E7" s="380"/>
    </row>
    <row r="8" spans="2:8" x14ac:dyDescent="0.3">
      <c r="D8" s="6"/>
    </row>
    <row r="9" spans="2:8" x14ac:dyDescent="0.3">
      <c r="D9" s="6"/>
    </row>
    <row r="10" spans="2:8" x14ac:dyDescent="0.3">
      <c r="B10" s="50">
        <v>1</v>
      </c>
      <c r="C10" s="19" t="s">
        <v>233</v>
      </c>
      <c r="D10" s="355"/>
      <c r="E10" s="355"/>
    </row>
    <row r="11" spans="2:8" ht="17.25" customHeight="1" x14ac:dyDescent="0.3">
      <c r="B11" s="54"/>
      <c r="C11" s="2"/>
      <c r="D11" s="8"/>
      <c r="E11" s="7"/>
    </row>
    <row r="12" spans="2:8" ht="17.25" customHeight="1" x14ac:dyDescent="0.3">
      <c r="B12" s="54">
        <v>2</v>
      </c>
      <c r="C12" s="2" t="s">
        <v>52</v>
      </c>
      <c r="D12" s="382" t="s">
        <v>51</v>
      </c>
      <c r="E12" s="382"/>
    </row>
    <row r="13" spans="2:8" ht="17.25" customHeight="1" x14ac:dyDescent="0.3">
      <c r="B13" s="54"/>
      <c r="C13" s="5"/>
      <c r="D13" s="115"/>
    </row>
    <row r="14" spans="2:8" ht="28.95" customHeight="1" x14ac:dyDescent="0.3">
      <c r="B14" s="4">
        <v>3</v>
      </c>
      <c r="C14" s="317" t="s">
        <v>473</v>
      </c>
      <c r="D14" s="317"/>
      <c r="E14" s="317"/>
      <c r="F14" s="106"/>
      <c r="H14" s="220"/>
    </row>
    <row r="15" spans="2:8" ht="14.4" customHeight="1" x14ac:dyDescent="0.3">
      <c r="C15" s="7"/>
      <c r="D15" s="20" t="s">
        <v>440</v>
      </c>
      <c r="E15" s="291" t="str">
        <f>IF('Project Information'!F11=0,"-",'Project Information'!F11)</f>
        <v>-</v>
      </c>
      <c r="H15" s="217"/>
    </row>
    <row r="16" spans="2:8" ht="14.4" customHeight="1" x14ac:dyDescent="0.3">
      <c r="C16" s="7"/>
      <c r="D16" s="20" t="s">
        <v>6</v>
      </c>
      <c r="E16" s="291" t="str">
        <f>IF('Project Information'!F12=0,"-",'Project Information'!F12)</f>
        <v>-</v>
      </c>
      <c r="H16" s="117"/>
    </row>
    <row r="17" spans="2:10" ht="14.4" customHeight="1" x14ac:dyDescent="0.3">
      <c r="C17" s="7"/>
      <c r="D17" s="20" t="s">
        <v>297</v>
      </c>
      <c r="E17" s="291" t="str">
        <f>IF('Project Information'!F13=0,"-",'Project Information'!F13)</f>
        <v>-</v>
      </c>
      <c r="H17" s="125"/>
    </row>
    <row r="18" spans="2:10" ht="14.4" customHeight="1" x14ac:dyDescent="0.3">
      <c r="C18" s="7"/>
      <c r="D18" s="20" t="s">
        <v>441</v>
      </c>
      <c r="E18" s="291" t="str">
        <f>IF('Project Information'!F14=0,"-",'Project Information'!F14)</f>
        <v>-</v>
      </c>
      <c r="H18" s="125"/>
    </row>
    <row r="19" spans="2:10" ht="14.4" customHeight="1" x14ac:dyDescent="0.3">
      <c r="C19" s="7"/>
      <c r="D19" s="20" t="s">
        <v>442</v>
      </c>
      <c r="E19" s="291" t="str">
        <f>IF('Project Information'!F15=0,"-",'Project Information'!F15)</f>
        <v>-</v>
      </c>
      <c r="H19" s="125"/>
    </row>
    <row r="20" spans="2:10" ht="14.4" customHeight="1" x14ac:dyDescent="0.3">
      <c r="C20" s="7"/>
      <c r="D20" s="20" t="s">
        <v>443</v>
      </c>
      <c r="E20" s="291" t="str">
        <f>IF('Project Information'!F16=0,"-",'Project Information'!F16)</f>
        <v>-</v>
      </c>
      <c r="H20" s="125"/>
    </row>
    <row r="21" spans="2:10" x14ac:dyDescent="0.3">
      <c r="B21" s="54"/>
      <c r="C21" s="112"/>
      <c r="D21" s="112"/>
      <c r="E21" s="112"/>
    </row>
    <row r="22" spans="2:10" ht="45" customHeight="1" x14ac:dyDescent="0.3">
      <c r="B22" s="54">
        <v>4</v>
      </c>
      <c r="C22" s="379" t="s">
        <v>607</v>
      </c>
      <c r="D22" s="379"/>
      <c r="E22" s="379"/>
    </row>
    <row r="23" spans="2:10" x14ac:dyDescent="0.3">
      <c r="B23" s="7"/>
      <c r="C23" s="7"/>
      <c r="D23" s="7"/>
      <c r="E23" s="7"/>
      <c r="F23" s="7"/>
      <c r="H23" s="7"/>
      <c r="I23" s="7"/>
      <c r="J23" s="7"/>
    </row>
    <row r="24" spans="2:10" x14ac:dyDescent="0.3">
      <c r="B24" s="55" t="s">
        <v>24</v>
      </c>
      <c r="C24" s="82"/>
      <c r="D24" s="82"/>
      <c r="E24" s="82"/>
      <c r="F24" s="100"/>
      <c r="H24" s="7"/>
      <c r="I24" s="7"/>
      <c r="J24" s="7"/>
    </row>
    <row r="25" spans="2:10" x14ac:dyDescent="0.3">
      <c r="B25" s="58"/>
      <c r="C25" s="7"/>
      <c r="D25" s="7"/>
      <c r="E25" s="7"/>
      <c r="F25" s="75"/>
      <c r="H25" s="7"/>
      <c r="I25" s="7"/>
      <c r="J25" s="7"/>
    </row>
    <row r="26" spans="2:10" ht="43.5" customHeight="1" x14ac:dyDescent="0.3">
      <c r="B26" s="56" t="s">
        <v>25</v>
      </c>
      <c r="C26" s="317" t="s">
        <v>614</v>
      </c>
      <c r="D26" s="317"/>
      <c r="E26" s="317"/>
      <c r="F26" s="75"/>
      <c r="H26" s="7"/>
      <c r="I26" s="7"/>
      <c r="J26" s="7"/>
    </row>
    <row r="27" spans="2:10" x14ac:dyDescent="0.3">
      <c r="B27" s="57"/>
      <c r="C27" s="7"/>
      <c r="D27" s="369"/>
      <c r="E27" s="370"/>
      <c r="F27" s="75"/>
      <c r="H27" s="224"/>
      <c r="I27" s="7"/>
      <c r="J27" s="7"/>
    </row>
    <row r="28" spans="2:10" ht="30.75" customHeight="1" x14ac:dyDescent="0.3">
      <c r="B28" s="56" t="s">
        <v>110</v>
      </c>
      <c r="C28" s="317" t="s">
        <v>211</v>
      </c>
      <c r="D28" s="317"/>
      <c r="E28" s="317"/>
      <c r="F28" s="75"/>
      <c r="H28" s="216"/>
    </row>
    <row r="29" spans="2:10" x14ac:dyDescent="0.3">
      <c r="B29" s="57"/>
      <c r="C29" s="7"/>
      <c r="D29" s="18"/>
      <c r="E29" s="7" t="s">
        <v>139</v>
      </c>
      <c r="F29" s="75"/>
      <c r="H29" s="7"/>
    </row>
    <row r="30" spans="2:10" x14ac:dyDescent="0.3">
      <c r="B30" s="57"/>
      <c r="C30" s="7"/>
      <c r="D30" s="304"/>
      <c r="E30" s="7"/>
      <c r="F30" s="75"/>
      <c r="H30" s="7"/>
    </row>
    <row r="31" spans="2:10" ht="28.2" customHeight="1" x14ac:dyDescent="0.3">
      <c r="B31" s="56" t="s">
        <v>476</v>
      </c>
      <c r="C31" s="317" t="s">
        <v>612</v>
      </c>
      <c r="D31" s="317"/>
      <c r="E31" s="317"/>
      <c r="F31" s="75"/>
      <c r="H31" s="7"/>
    </row>
    <row r="32" spans="2:10" x14ac:dyDescent="0.3">
      <c r="B32" s="56"/>
      <c r="C32" s="294"/>
      <c r="D32" s="306"/>
      <c r="E32" s="7" t="s">
        <v>610</v>
      </c>
      <c r="F32" s="75"/>
      <c r="H32" s="7"/>
    </row>
    <row r="33" spans="2:8" ht="43.2" x14ac:dyDescent="0.3">
      <c r="B33" s="56"/>
      <c r="C33" s="294"/>
      <c r="D33" s="305" t="e">
        <f>(VLOOKUP(D5,'7 Comm Benefit'!C29:E34,3,))*D29</f>
        <v>#N/A</v>
      </c>
      <c r="E33" s="19" t="s">
        <v>613</v>
      </c>
      <c r="F33" s="75"/>
      <c r="H33" s="7"/>
    </row>
    <row r="34" spans="2:8" x14ac:dyDescent="0.3">
      <c r="B34" s="56"/>
      <c r="C34" s="7"/>
      <c r="D34" s="7"/>
      <c r="E34" s="7"/>
      <c r="F34" s="75"/>
      <c r="H34" s="7"/>
    </row>
    <row r="35" spans="2:8" ht="30.75" customHeight="1" x14ac:dyDescent="0.3">
      <c r="B35" s="56" t="s">
        <v>373</v>
      </c>
      <c r="C35" s="317" t="s">
        <v>609</v>
      </c>
      <c r="D35" s="317"/>
      <c r="E35" s="317"/>
      <c r="F35" s="75"/>
      <c r="H35" s="224"/>
    </row>
    <row r="36" spans="2:8" x14ac:dyDescent="0.3">
      <c r="B36" s="56"/>
      <c r="C36" s="106"/>
      <c r="D36" s="40"/>
      <c r="E36" s="7" t="s">
        <v>220</v>
      </c>
      <c r="F36" s="75"/>
      <c r="H36" s="216"/>
    </row>
    <row r="37" spans="2:8" x14ac:dyDescent="0.3">
      <c r="B37" s="57"/>
      <c r="C37" s="7"/>
      <c r="D37" s="107"/>
      <c r="E37" s="7"/>
      <c r="F37" s="75"/>
      <c r="H37" s="7"/>
    </row>
    <row r="38" spans="2:8" x14ac:dyDescent="0.3">
      <c r="B38" s="56" t="s">
        <v>221</v>
      </c>
      <c r="C38" s="317" t="s">
        <v>617</v>
      </c>
      <c r="D38" s="317"/>
      <c r="E38" s="317"/>
      <c r="F38" s="75"/>
      <c r="H38" s="224"/>
    </row>
    <row r="39" spans="2:8" x14ac:dyDescent="0.3">
      <c r="B39" s="56"/>
      <c r="C39" s="292"/>
      <c r="D39" s="40"/>
      <c r="E39" s="7"/>
      <c r="F39" s="75"/>
      <c r="H39" s="216"/>
    </row>
    <row r="40" spans="2:8" x14ac:dyDescent="0.3">
      <c r="B40" s="56"/>
      <c r="C40" s="292"/>
      <c r="D40" s="144"/>
      <c r="E40" s="7"/>
      <c r="F40" s="75"/>
      <c r="H40" s="216"/>
    </row>
    <row r="41" spans="2:8" ht="28.8" customHeight="1" x14ac:dyDescent="0.3">
      <c r="B41" s="56" t="s">
        <v>611</v>
      </c>
      <c r="C41" s="317" t="s">
        <v>620</v>
      </c>
      <c r="D41" s="317"/>
      <c r="E41" s="317"/>
      <c r="F41" s="75"/>
      <c r="H41" s="224"/>
    </row>
    <row r="42" spans="2:8" x14ac:dyDescent="0.3">
      <c r="B42" s="56"/>
      <c r="C42" s="292"/>
      <c r="D42" s="381"/>
      <c r="E42" s="381"/>
      <c r="F42" s="75"/>
      <c r="H42" s="216"/>
    </row>
    <row r="43" spans="2:8" x14ac:dyDescent="0.3">
      <c r="B43" s="56"/>
      <c r="C43" s="292"/>
      <c r="D43" s="144"/>
      <c r="E43" s="7"/>
      <c r="F43" s="75"/>
      <c r="H43" s="216"/>
    </row>
    <row r="44" spans="2:8" ht="28.8" customHeight="1" x14ac:dyDescent="0.3">
      <c r="B44" s="56" t="s">
        <v>629</v>
      </c>
      <c r="C44" s="317" t="s">
        <v>630</v>
      </c>
      <c r="D44" s="317"/>
      <c r="E44" s="317"/>
      <c r="F44" s="75"/>
      <c r="H44" s="224"/>
    </row>
    <row r="45" spans="2:8" x14ac:dyDescent="0.3">
      <c r="B45" s="56"/>
      <c r="C45" s="300"/>
      <c r="D45" s="312"/>
      <c r="E45" s="304" t="s">
        <v>631</v>
      </c>
      <c r="F45" s="75"/>
      <c r="H45" s="216"/>
    </row>
    <row r="46" spans="2:8" ht="15" thickBot="1" x14ac:dyDescent="0.35">
      <c r="B46" s="56"/>
      <c r="C46" s="300"/>
      <c r="D46" s="144"/>
      <c r="E46" s="7"/>
      <c r="F46" s="75"/>
      <c r="H46" s="216"/>
    </row>
    <row r="47" spans="2:8" ht="15.6" thickTop="1" thickBot="1" x14ac:dyDescent="0.35">
      <c r="B47" s="57"/>
      <c r="C47" s="7"/>
      <c r="D47" s="140" t="s">
        <v>133</v>
      </c>
      <c r="E47" s="155" t="e">
        <f>'7 Comm Benefit'!E70</f>
        <v>#N/A</v>
      </c>
      <c r="F47" s="75"/>
      <c r="H47" s="7"/>
    </row>
    <row r="48" spans="2:8" ht="15" thickTop="1" x14ac:dyDescent="0.3">
      <c r="B48" s="60"/>
      <c r="C48" s="132"/>
      <c r="D48" s="132"/>
      <c r="E48" s="132"/>
      <c r="F48" s="99"/>
      <c r="H48" s="7"/>
    </row>
    <row r="49" spans="2:8" ht="15" thickBot="1" x14ac:dyDescent="0.35">
      <c r="B49" s="158"/>
      <c r="C49" s="82"/>
      <c r="D49" s="82"/>
      <c r="E49" s="82"/>
      <c r="F49" s="82"/>
      <c r="H49" s="7"/>
    </row>
    <row r="50" spans="2:8" ht="19.2" thickTop="1" thickBot="1" x14ac:dyDescent="0.35">
      <c r="B50" s="20"/>
      <c r="C50" s="7"/>
      <c r="D50" s="94" t="s">
        <v>132</v>
      </c>
      <c r="E50" s="93" t="e">
        <f>ROUND(E47,-2)</f>
        <v>#N/A</v>
      </c>
      <c r="F50" s="7"/>
      <c r="H50" s="7"/>
    </row>
    <row r="51" spans="2:8" ht="19.2" thickTop="1" thickBot="1" x14ac:dyDescent="0.35">
      <c r="B51" s="7"/>
      <c r="C51" s="7"/>
      <c r="D51" s="94" t="s">
        <v>330</v>
      </c>
      <c r="E51" s="96" t="e">
        <f>E50/D10</f>
        <v>#N/A</v>
      </c>
      <c r="F51" s="7"/>
      <c r="G51" s="7"/>
      <c r="H51" s="7"/>
    </row>
    <row r="52" spans="2:8" ht="15" thickTop="1" x14ac:dyDescent="0.3"/>
  </sheetData>
  <mergeCells count="17">
    <mergeCell ref="D42:E42"/>
    <mergeCell ref="C44:E44"/>
    <mergeCell ref="C38:E38"/>
    <mergeCell ref="C41:E41"/>
    <mergeCell ref="D12:E12"/>
    <mergeCell ref="C22:E22"/>
    <mergeCell ref="C14:E14"/>
    <mergeCell ref="C35:E35"/>
    <mergeCell ref="C26:E26"/>
    <mergeCell ref="D27:E27"/>
    <mergeCell ref="C28:E28"/>
    <mergeCell ref="C31:E31"/>
    <mergeCell ref="C3:E3"/>
    <mergeCell ref="D5:E5"/>
    <mergeCell ref="D6:E6"/>
    <mergeCell ref="D7:E7"/>
    <mergeCell ref="D10:E10"/>
  </mergeCells>
  <conditionalFormatting sqref="B47:F48 B24:F37">
    <cfRule type="expression" dxfId="214" priority="16">
      <formula>#REF!="NO"</formula>
    </cfRule>
  </conditionalFormatting>
  <conditionalFormatting sqref="E15:E20">
    <cfRule type="expression" dxfId="213" priority="6">
      <formula>AND($F$13="NOT WARRANTED",$F$14="NOT WARRANTED",$F$15="NOT WARRANTED",$F$16="NOT WARRANTED")</formula>
    </cfRule>
  </conditionalFormatting>
  <conditionalFormatting sqref="B38:F40">
    <cfRule type="expression" dxfId="212" priority="5">
      <formula>#REF!="NO"</formula>
    </cfRule>
  </conditionalFormatting>
  <conditionalFormatting sqref="B41:F41 B43:F43 B42:C42 F42">
    <cfRule type="expression" dxfId="211" priority="4">
      <formula>#REF!="NO"</formula>
    </cfRule>
  </conditionalFormatting>
  <conditionalFormatting sqref="D42">
    <cfRule type="expression" dxfId="210" priority="3">
      <formula>#REF!="NO"</formula>
    </cfRule>
  </conditionalFormatting>
  <conditionalFormatting sqref="B44:F44 B46:F46 B45:C45 F45">
    <cfRule type="expression" dxfId="209" priority="2">
      <formula>#REF!="NO"</formula>
    </cfRule>
  </conditionalFormatting>
  <conditionalFormatting sqref="D45">
    <cfRule type="expression" dxfId="208" priority="1">
      <formula>#REF!="NO"</formula>
    </cfRule>
  </conditionalFormatting>
  <dataValidations count="4">
    <dataValidation showInputMessage="1" showErrorMessage="1" sqref="D13:E13"/>
    <dataValidation type="whole" allowBlank="1" showInputMessage="1" showErrorMessage="1" sqref="D10">
      <formula1>0</formula1>
      <formula2>10000000</formula2>
    </dataValidation>
    <dataValidation showInputMessage="1" showErrorMessage="1" promptTitle="Expansion Purpose" sqref="D21:E21"/>
    <dataValidation showInputMessage="1" showErrorMessage="1" promptTitle="Percent Ticket Reduction" sqref="E36 D37 E39:E40 E32:E33 E43 E46"/>
  </dataValidations>
  <pageMargins left="0.7" right="0.7" top="0.75" bottom="0.75" header="0.3" footer="0.3"/>
  <pageSetup scale="86" orientation="portrait" r:id="rId1"/>
  <rowBreaks count="1" manualBreakCount="1">
    <brk id="40" max="6" man="1"/>
  </rowBreaks>
  <ignoredErrors>
    <ignoredError sqref="D5:E7" unlockedFormula="1"/>
  </ignoredErrors>
  <drawing r:id="rId2"/>
  <extLst>
    <ext xmlns:x14="http://schemas.microsoft.com/office/spreadsheetml/2009/9/main" uri="{CCE6A557-97BC-4b89-ADB6-D9C93CAAB3DF}">
      <x14:dataValidations xmlns:xm="http://schemas.microsoft.com/office/excel/2006/main" count="5">
        <x14:dataValidation type="list" showInputMessage="1" showErrorMessage="1" promptTitle="Expansion Type">
          <x14:formula1>
            <xm:f>'drop-downs'!$Q$2:$Q$3</xm:f>
          </x14:formula1>
          <xm:sqref>D12:E12</xm:sqref>
        </x14:dataValidation>
        <x14:dataValidation type="list" showInputMessage="1" showErrorMessage="1" promptTitle="Increased Maintenance">
          <x14:formula1>
            <xm:f>'drop-downs'!$Y$2:$Y$4</xm:f>
          </x14:formula1>
          <xm:sqref>D27</xm:sqref>
        </x14:dataValidation>
        <x14:dataValidation type="list" showInputMessage="1" showErrorMessage="1" promptTitle="Percent Ticket Reduction">
          <x14:formula1>
            <xm:f>'drop-downs'!$AE$2:$AE$7</xm:f>
          </x14:formula1>
          <xm:sqref>D36</xm:sqref>
        </x14:dataValidation>
        <x14:dataValidation type="list" allowBlank="1" showInputMessage="1" showErrorMessage="1">
          <x14:formula1>
            <xm:f>'drop-downs'!$A$2:$A$4</xm:f>
          </x14:formula1>
          <xm:sqref>D39</xm:sqref>
        </x14:dataValidation>
        <x14:dataValidation type="list" allowBlank="1" showInputMessage="1" showErrorMessage="1">
          <x14:formula1>
            <xm:f>'drop-downs'!$AY$2:$AY$4</xm:f>
          </x14:formula1>
          <xm:sqref>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I24"/>
  <sheetViews>
    <sheetView zoomScale="90" zoomScaleNormal="90" workbookViewId="0">
      <selection activeCell="G11" sqref="G11"/>
    </sheetView>
  </sheetViews>
  <sheetFormatPr defaultRowHeight="14.4" x14ac:dyDescent="0.3"/>
  <cols>
    <col min="1" max="1" width="1.88671875" customWidth="1"/>
    <col min="2" max="2" width="14.5546875" customWidth="1"/>
    <col min="4" max="4" width="26.5546875" customWidth="1"/>
    <col min="5" max="5" width="18.21875" customWidth="1"/>
    <col min="6" max="6" width="19.109375" customWidth="1"/>
  </cols>
  <sheetData>
    <row r="1" spans="1:9" s="4" customFormat="1" x14ac:dyDescent="0.3">
      <c r="A1" s="7"/>
      <c r="B1" s="7"/>
      <c r="C1" s="277" t="s">
        <v>488</v>
      </c>
      <c r="E1" s="162"/>
      <c r="F1" s="162"/>
      <c r="G1" s="7"/>
      <c r="H1" s="7"/>
    </row>
    <row r="2" spans="1:9" s="4" customFormat="1" ht="25.8" x14ac:dyDescent="0.3">
      <c r="A2" s="7"/>
      <c r="B2" s="7"/>
      <c r="C2" s="316" t="s">
        <v>582</v>
      </c>
      <c r="D2" s="316"/>
      <c r="E2" s="316"/>
      <c r="F2" s="316"/>
      <c r="G2" s="7"/>
      <c r="H2" s="7"/>
    </row>
    <row r="3" spans="1:9" s="4" customFormat="1" x14ac:dyDescent="0.3">
      <c r="A3" s="7"/>
      <c r="B3" s="7"/>
      <c r="C3" s="7"/>
      <c r="D3" s="162"/>
      <c r="E3" s="162"/>
      <c r="F3" s="162"/>
      <c r="G3" s="7"/>
      <c r="H3" s="7"/>
    </row>
    <row r="4" spans="1:9" s="4" customFormat="1" x14ac:dyDescent="0.3">
      <c r="A4" s="7"/>
      <c r="B4" s="7"/>
      <c r="C4" s="7"/>
      <c r="D4" s="7"/>
      <c r="E4" s="7"/>
      <c r="F4" s="7"/>
      <c r="G4" s="7"/>
      <c r="H4" s="7"/>
    </row>
    <row r="5" spans="1:9" s="4" customFormat="1" x14ac:dyDescent="0.3">
      <c r="A5" s="7"/>
      <c r="B5" s="7"/>
      <c r="C5" s="7"/>
      <c r="D5" s="20" t="s">
        <v>2</v>
      </c>
      <c r="E5" s="321" t="str">
        <f>IF('Project Information'!E5=0, "-",'Project Information'!E5)</f>
        <v>-</v>
      </c>
      <c r="F5" s="321"/>
      <c r="G5" s="7"/>
      <c r="H5" s="7"/>
    </row>
    <row r="6" spans="1:9" s="4" customFormat="1" x14ac:dyDescent="0.3">
      <c r="A6" s="7"/>
      <c r="B6" s="7"/>
      <c r="C6" s="7"/>
      <c r="D6" s="20" t="s">
        <v>0</v>
      </c>
      <c r="E6" s="321" t="str">
        <f>IF('Project Information'!E6=0, "-",'Project Information'!E6)</f>
        <v>-</v>
      </c>
      <c r="F6" s="321"/>
      <c r="G6" s="7"/>
      <c r="H6" s="7"/>
    </row>
    <row r="7" spans="1:9" s="4" customFormat="1" x14ac:dyDescent="0.3">
      <c r="A7" s="7"/>
      <c r="B7" s="7"/>
      <c r="C7" s="7"/>
      <c r="D7" s="20" t="s">
        <v>160</v>
      </c>
      <c r="E7" s="321" t="str">
        <f>IF('Project Information'!E7=0, "-",'Project Information'!E7)</f>
        <v>-</v>
      </c>
      <c r="F7" s="321"/>
      <c r="G7" s="7"/>
      <c r="H7" s="7"/>
    </row>
    <row r="8" spans="1:9" s="4" customFormat="1" x14ac:dyDescent="0.3">
      <c r="A8" s="7"/>
      <c r="B8" s="7"/>
      <c r="C8" s="7"/>
      <c r="D8" s="7"/>
      <c r="E8" s="20"/>
      <c r="F8" s="7"/>
      <c r="G8" s="7"/>
      <c r="H8" s="7"/>
    </row>
    <row r="9" spans="1:9" s="4" customFormat="1" x14ac:dyDescent="0.3">
      <c r="A9" s="7"/>
      <c r="B9" s="7"/>
      <c r="C9" s="7"/>
      <c r="D9" s="7"/>
      <c r="E9" s="20"/>
      <c r="F9" s="7"/>
      <c r="G9" s="7"/>
      <c r="H9" s="7"/>
    </row>
    <row r="10" spans="1:9" s="4" customFormat="1" ht="59.4" customHeight="1" x14ac:dyDescent="0.3">
      <c r="B10" s="284">
        <v>1</v>
      </c>
      <c r="C10" s="325" t="s">
        <v>589</v>
      </c>
      <c r="D10" s="325"/>
      <c r="E10" s="325"/>
      <c r="F10" s="325"/>
      <c r="G10" s="276"/>
      <c r="I10" s="220"/>
    </row>
    <row r="12" spans="1:9" x14ac:dyDescent="0.3">
      <c r="C12" s="249" t="s">
        <v>522</v>
      </c>
      <c r="D12" s="324" t="s">
        <v>582</v>
      </c>
      <c r="E12" s="324"/>
      <c r="F12" s="324"/>
    </row>
    <row r="13" spans="1:9" x14ac:dyDescent="0.3">
      <c r="I13" s="283"/>
    </row>
    <row r="14" spans="1:9" x14ac:dyDescent="0.3">
      <c r="C14" s="249" t="s">
        <v>522</v>
      </c>
      <c r="D14" s="324" t="s">
        <v>583</v>
      </c>
      <c r="E14" s="324"/>
      <c r="F14" s="324"/>
    </row>
    <row r="16" spans="1:9" x14ac:dyDescent="0.3">
      <c r="C16" s="249" t="s">
        <v>522</v>
      </c>
      <c r="D16" s="324" t="s">
        <v>584</v>
      </c>
      <c r="E16" s="324"/>
      <c r="F16" s="324"/>
    </row>
    <row r="18" spans="3:6" x14ac:dyDescent="0.3">
      <c r="C18" s="249" t="s">
        <v>522</v>
      </c>
      <c r="D18" s="324" t="s">
        <v>585</v>
      </c>
      <c r="E18" s="324"/>
      <c r="F18" s="324"/>
    </row>
    <row r="20" spans="3:6" x14ac:dyDescent="0.3">
      <c r="C20" s="249" t="s">
        <v>522</v>
      </c>
      <c r="D20" s="324" t="s">
        <v>587</v>
      </c>
      <c r="E20" s="324"/>
      <c r="F20" s="324"/>
    </row>
    <row r="22" spans="3:6" x14ac:dyDescent="0.3">
      <c r="C22" s="249" t="s">
        <v>522</v>
      </c>
      <c r="D22" s="324" t="s">
        <v>586</v>
      </c>
      <c r="E22" s="324"/>
      <c r="F22" s="324"/>
    </row>
    <row r="24" spans="3:6" x14ac:dyDescent="0.3">
      <c r="C24" s="249" t="s">
        <v>522</v>
      </c>
      <c r="D24" s="324" t="s">
        <v>588</v>
      </c>
      <c r="E24" s="324"/>
      <c r="F24" s="324"/>
    </row>
  </sheetData>
  <mergeCells count="12">
    <mergeCell ref="D24:F24"/>
    <mergeCell ref="C2:F2"/>
    <mergeCell ref="E5:F5"/>
    <mergeCell ref="E6:F6"/>
    <mergeCell ref="E7:F7"/>
    <mergeCell ref="C10:F10"/>
    <mergeCell ref="D12:F12"/>
    <mergeCell ref="D14:F14"/>
    <mergeCell ref="D16:F16"/>
    <mergeCell ref="D18:F18"/>
    <mergeCell ref="D20:F20"/>
    <mergeCell ref="D22:F22"/>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Region">
          <x14:formula1>
            <xm:f>'drop-downs'!$I$2:$I$7</xm:f>
          </x14:formula1>
          <xm:sqref>E5:F7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M75"/>
  <sheetViews>
    <sheetView workbookViewId="0">
      <selection activeCell="E63" sqref="E63"/>
    </sheetView>
  </sheetViews>
  <sheetFormatPr defaultColWidth="8.88671875" defaultRowHeight="14.4" x14ac:dyDescent="0.3"/>
  <cols>
    <col min="1" max="1" width="2" style="4" customWidth="1"/>
    <col min="2" max="2" width="11.5546875" style="4" customWidth="1"/>
    <col min="3" max="3" width="44.88671875" style="4" customWidth="1"/>
    <col min="4" max="4" width="11.44140625" style="4" customWidth="1"/>
    <col min="5" max="5" width="29" style="4" customWidth="1"/>
    <col min="6" max="6" width="1.33203125" style="4" customWidth="1"/>
    <col min="7" max="7" width="1.5546875" style="4" customWidth="1"/>
    <col min="8" max="16384" width="8.88671875" style="4"/>
  </cols>
  <sheetData>
    <row r="1" spans="2:8" x14ac:dyDescent="0.3">
      <c r="C1" s="129" t="s">
        <v>239</v>
      </c>
    </row>
    <row r="2" spans="2:8" ht="25.95" customHeight="1" x14ac:dyDescent="0.3">
      <c r="C2" s="386" t="s">
        <v>249</v>
      </c>
      <c r="D2" s="387"/>
      <c r="E2" s="387"/>
    </row>
    <row r="5" spans="2:8" x14ac:dyDescent="0.3">
      <c r="C5" s="6" t="s">
        <v>2</v>
      </c>
      <c r="D5" s="363" t="str">
        <f>'7 Communication'!D5:E5</f>
        <v>-</v>
      </c>
      <c r="E5" s="363"/>
    </row>
    <row r="6" spans="2:8" x14ac:dyDescent="0.3">
      <c r="C6" s="6" t="s">
        <v>0</v>
      </c>
      <c r="D6" s="363" t="str">
        <f>'7 Communication'!D6:E6</f>
        <v>-</v>
      </c>
      <c r="E6" s="363"/>
    </row>
    <row r="7" spans="2:8" x14ac:dyDescent="0.3">
      <c r="C7" s="20" t="s">
        <v>160</v>
      </c>
      <c r="D7" s="363" t="str">
        <f>'7 Communication'!D7:E7</f>
        <v>-</v>
      </c>
      <c r="E7" s="363"/>
    </row>
    <row r="8" spans="2:8" x14ac:dyDescent="0.3">
      <c r="D8" s="43"/>
      <c r="E8" s="42"/>
    </row>
    <row r="9" spans="2:8" x14ac:dyDescent="0.3">
      <c r="D9" s="43"/>
      <c r="E9" s="42"/>
    </row>
    <row r="10" spans="2:8" x14ac:dyDescent="0.3">
      <c r="B10" s="50">
        <v>1</v>
      </c>
      <c r="C10" s="19" t="s">
        <v>233</v>
      </c>
      <c r="D10" s="374">
        <f>'7 Communication'!D10:E10</f>
        <v>0</v>
      </c>
      <c r="E10" s="374"/>
    </row>
    <row r="11" spans="2:8" x14ac:dyDescent="0.3">
      <c r="B11" s="54"/>
      <c r="C11" s="2"/>
      <c r="D11" s="14"/>
      <c r="E11" s="15"/>
    </row>
    <row r="12" spans="2:8" x14ac:dyDescent="0.3">
      <c r="B12" s="54">
        <v>2</v>
      </c>
      <c r="C12" s="2" t="s">
        <v>52</v>
      </c>
      <c r="D12" s="388" t="str">
        <f>'7 Communication'!D12:E12</f>
        <v>Communications Backbone</v>
      </c>
      <c r="E12" s="388"/>
    </row>
    <row r="13" spans="2:8" x14ac:dyDescent="0.3">
      <c r="B13" s="54"/>
      <c r="C13" s="5"/>
      <c r="D13" s="48"/>
      <c r="E13" s="42"/>
    </row>
    <row r="14" spans="2:8" ht="43.8" customHeight="1" x14ac:dyDescent="0.3">
      <c r="B14" s="54">
        <v>4</v>
      </c>
      <c r="C14" s="379" t="str">
        <f>'7 Communication'!C22:E22</f>
        <v>It is assumed that productivity benefits will be realized through communications expansion through the ability to access devices remotely or maintaining redundancy in the event that the primary communication path is unavailable.</v>
      </c>
      <c r="D14" s="379"/>
      <c r="E14" s="379"/>
    </row>
    <row r="15" spans="2:8" x14ac:dyDescent="0.3">
      <c r="D15" s="42"/>
    </row>
    <row r="16" spans="2:8" x14ac:dyDescent="0.3">
      <c r="B16" s="55" t="s">
        <v>24</v>
      </c>
      <c r="C16" s="82"/>
      <c r="D16" s="82"/>
      <c r="E16" s="82"/>
      <c r="F16" s="100"/>
      <c r="H16" s="7"/>
    </row>
    <row r="17" spans="1:8" x14ac:dyDescent="0.3">
      <c r="B17" s="58"/>
      <c r="C17" s="7"/>
      <c r="D17" s="7"/>
      <c r="E17" s="7"/>
      <c r="F17" s="75"/>
      <c r="G17" s="7"/>
      <c r="H17" s="7"/>
    </row>
    <row r="18" spans="1:8" ht="30.75" customHeight="1" x14ac:dyDescent="0.3">
      <c r="B18" s="56" t="s">
        <v>25</v>
      </c>
      <c r="C18" s="317" t="s">
        <v>161</v>
      </c>
      <c r="D18" s="317"/>
      <c r="E18" s="317"/>
      <c r="F18" s="75"/>
      <c r="G18" s="7"/>
      <c r="H18" s="7"/>
    </row>
    <row r="19" spans="1:8" x14ac:dyDescent="0.3">
      <c r="B19" s="57"/>
      <c r="C19" s="7"/>
      <c r="D19" s="375">
        <f>'7 Communication'!D27:E27</f>
        <v>0</v>
      </c>
      <c r="E19" s="376"/>
      <c r="F19" s="75"/>
      <c r="G19" s="7"/>
      <c r="H19" s="7"/>
    </row>
    <row r="20" spans="1:8" ht="30" customHeight="1" x14ac:dyDescent="0.3">
      <c r="B20" s="56" t="s">
        <v>110</v>
      </c>
      <c r="C20" s="317" t="s">
        <v>138</v>
      </c>
      <c r="D20" s="317"/>
      <c r="E20" s="317"/>
      <c r="F20" s="75"/>
      <c r="G20" s="7"/>
      <c r="H20" s="7"/>
    </row>
    <row r="21" spans="1:8" x14ac:dyDescent="0.3">
      <c r="B21" s="57"/>
      <c r="C21" s="7"/>
      <c r="D21" s="31">
        <f>'7 Communication'!D29</f>
        <v>0</v>
      </c>
      <c r="E21" s="7" t="s">
        <v>139</v>
      </c>
      <c r="F21" s="75"/>
      <c r="G21" s="7"/>
      <c r="H21" s="7"/>
    </row>
    <row r="22" spans="1:8" x14ac:dyDescent="0.3">
      <c r="B22" s="57"/>
      <c r="C22" s="7"/>
      <c r="D22" s="304"/>
      <c r="E22" s="7"/>
      <c r="F22" s="75"/>
      <c r="G22" s="7"/>
      <c r="H22" s="7"/>
    </row>
    <row r="23" spans="1:8" ht="29.4" customHeight="1" x14ac:dyDescent="0.3">
      <c r="B23" s="57" t="str">
        <f>'7 Communication'!B31</f>
        <v>P3.</v>
      </c>
      <c r="C23" s="317" t="str">
        <f>'7 Communication'!C31</f>
        <v xml:space="preserve">What is the estimated cost of the number of tickets indicated above? If unknown, a regional average is provided as a guide to determine the total maintenance ticket cost. </v>
      </c>
      <c r="D23" s="317"/>
      <c r="E23" s="317"/>
      <c r="F23" s="75"/>
      <c r="G23" s="7"/>
      <c r="H23" s="7"/>
    </row>
    <row r="24" spans="1:8" x14ac:dyDescent="0.3">
      <c r="B24" s="57"/>
      <c r="C24" s="7"/>
      <c r="D24" s="31">
        <f>'7 Communication'!D32</f>
        <v>0</v>
      </c>
      <c r="E24" s="304" t="str">
        <f>'7 Communication'!E32</f>
        <v>estimated total ticket cost</v>
      </c>
      <c r="F24" s="75"/>
      <c r="G24" s="7"/>
      <c r="H24" s="7"/>
    </row>
    <row r="25" spans="1:8" ht="43.2" x14ac:dyDescent="0.3">
      <c r="B25" s="57"/>
      <c r="C25" s="7"/>
      <c r="D25" s="309" t="e">
        <f>'7 Communication'!D33</f>
        <v>#N/A</v>
      </c>
      <c r="E25" s="310" t="str">
        <f>'7 Communication'!E33</f>
        <v>average total ticket cost
(based on Region and number of tickets indicated above)</v>
      </c>
      <c r="F25" s="75"/>
      <c r="G25" s="7"/>
      <c r="H25" s="7"/>
    </row>
    <row r="26" spans="1:8" x14ac:dyDescent="0.3">
      <c r="B26" s="56"/>
      <c r="C26" s="7"/>
      <c r="D26" s="12"/>
      <c r="E26" s="7"/>
      <c r="F26" s="75"/>
      <c r="G26" s="7"/>
      <c r="H26" s="7"/>
    </row>
    <row r="27" spans="1:8" x14ac:dyDescent="0.3">
      <c r="A27" s="7"/>
      <c r="B27" s="56" t="s">
        <v>625</v>
      </c>
      <c r="C27" s="352" t="s">
        <v>148</v>
      </c>
      <c r="D27" s="352"/>
      <c r="E27" s="352"/>
      <c r="F27" s="75"/>
      <c r="G27" s="7"/>
    </row>
    <row r="28" spans="1:8" ht="43.2" x14ac:dyDescent="0.3">
      <c r="A28" s="7"/>
      <c r="B28" s="56"/>
      <c r="C28" s="38"/>
      <c r="D28" s="34" t="s">
        <v>149</v>
      </c>
      <c r="E28" s="87" t="s">
        <v>256</v>
      </c>
      <c r="F28" s="75"/>
      <c r="G28" s="7"/>
    </row>
    <row r="29" spans="1:8" x14ac:dyDescent="0.3">
      <c r="A29" s="7"/>
      <c r="B29" s="56"/>
      <c r="C29" s="20" t="s">
        <v>27</v>
      </c>
      <c r="D29" s="64">
        <f>VLOOKUP($C29,PARAMETERS!$I$17:$K$22,2,0)</f>
        <v>211</v>
      </c>
      <c r="E29" s="61">
        <f>VLOOKUP($C29,PARAMETERS!$I$17:$K$22,3,0)</f>
        <v>1253.49</v>
      </c>
      <c r="F29" s="75"/>
      <c r="G29" s="7"/>
      <c r="H29" s="42" t="s">
        <v>360</v>
      </c>
    </row>
    <row r="30" spans="1:8" x14ac:dyDescent="0.3">
      <c r="A30" s="7"/>
      <c r="B30" s="56"/>
      <c r="C30" s="20" t="s">
        <v>28</v>
      </c>
      <c r="D30" s="64">
        <f>VLOOKUP($C30,PARAMETERS!$I$17:$K$22,2,0)</f>
        <v>1048</v>
      </c>
      <c r="E30" s="61">
        <f>VLOOKUP($C30,PARAMETERS!$I$17:$K$22,3,0)</f>
        <v>316.20999999999998</v>
      </c>
      <c r="F30" s="75"/>
      <c r="G30" s="7"/>
    </row>
    <row r="31" spans="1:8" x14ac:dyDescent="0.3">
      <c r="A31" s="7"/>
      <c r="B31" s="56"/>
      <c r="C31" s="20" t="s">
        <v>29</v>
      </c>
      <c r="D31" s="64">
        <f>VLOOKUP($C31,PARAMETERS!$I$17:$K$22,2,0)</f>
        <v>218</v>
      </c>
      <c r="E31" s="61">
        <f>VLOOKUP($C31,PARAMETERS!$I$17:$K$22,3,0)</f>
        <v>482.33</v>
      </c>
      <c r="F31" s="75"/>
      <c r="G31" s="7"/>
    </row>
    <row r="32" spans="1:8" x14ac:dyDescent="0.3">
      <c r="A32" s="7"/>
      <c r="B32" s="56"/>
      <c r="C32" s="20" t="s">
        <v>30</v>
      </c>
      <c r="D32" s="64">
        <f>VLOOKUP($C32,PARAMETERS!$I$17:$K$22,2,0)</f>
        <v>86</v>
      </c>
      <c r="E32" s="61">
        <f>VLOOKUP($C32,PARAMETERS!$I$17:$K$22,3,0)</f>
        <v>436.82</v>
      </c>
      <c r="F32" s="75"/>
      <c r="G32" s="7"/>
    </row>
    <row r="33" spans="1:8" x14ac:dyDescent="0.3">
      <c r="A33" s="7"/>
      <c r="B33" s="57"/>
      <c r="C33" s="20" t="s">
        <v>32</v>
      </c>
      <c r="D33" s="64">
        <f>VLOOKUP($C33,PARAMETERS!$I$17:$K$22,2,0)</f>
        <v>23</v>
      </c>
      <c r="E33" s="61">
        <f>VLOOKUP($C33,PARAMETERS!$I$17:$K$22,3,0)</f>
        <v>444.35</v>
      </c>
      <c r="F33" s="75"/>
      <c r="G33" s="7"/>
    </row>
    <row r="34" spans="1:8" x14ac:dyDescent="0.3">
      <c r="A34" s="7"/>
      <c r="B34" s="57"/>
      <c r="C34" s="20" t="s">
        <v>31</v>
      </c>
      <c r="D34" s="64">
        <f>VLOOKUP($C34,PARAMETERS!$I$17:$K$22,2,0)</f>
        <v>104</v>
      </c>
      <c r="E34" s="61">
        <f>VLOOKUP($C34,PARAMETERS!$I$17:$K$22,3,0)</f>
        <v>733</v>
      </c>
      <c r="F34" s="75"/>
      <c r="G34" s="7"/>
    </row>
    <row r="35" spans="1:8" x14ac:dyDescent="0.3">
      <c r="A35" s="7"/>
      <c r="B35" s="57"/>
      <c r="C35" s="20"/>
      <c r="D35" s="20"/>
      <c r="E35" s="20"/>
      <c r="F35" s="75"/>
      <c r="G35" s="7"/>
    </row>
    <row r="36" spans="1:8" x14ac:dyDescent="0.3">
      <c r="B36" s="56" t="s">
        <v>626</v>
      </c>
      <c r="C36" s="317" t="s">
        <v>253</v>
      </c>
      <c r="D36" s="317"/>
      <c r="E36" s="317"/>
      <c r="F36" s="75"/>
      <c r="G36" s="7"/>
      <c r="H36" s="7" t="s">
        <v>635</v>
      </c>
    </row>
    <row r="37" spans="1:8" x14ac:dyDescent="0.3">
      <c r="B37" s="56"/>
      <c r="C37" s="106"/>
      <c r="D37" s="180">
        <v>190</v>
      </c>
      <c r="E37" s="106"/>
      <c r="F37" s="75"/>
      <c r="G37" s="7"/>
      <c r="H37" s="7"/>
    </row>
    <row r="38" spans="1:8" x14ac:dyDescent="0.3">
      <c r="B38" s="56"/>
      <c r="C38" s="294"/>
      <c r="D38" s="308"/>
      <c r="E38" s="294"/>
      <c r="F38" s="75"/>
      <c r="G38" s="7"/>
      <c r="H38" s="7"/>
    </row>
    <row r="39" spans="1:8" x14ac:dyDescent="0.3">
      <c r="B39" s="56" t="str">
        <f>'7 Communication'!B35</f>
        <v>P4.</v>
      </c>
      <c r="C39" s="317" t="s">
        <v>213</v>
      </c>
      <c r="D39" s="317"/>
      <c r="E39" s="317"/>
      <c r="F39" s="75"/>
      <c r="G39" s="7"/>
      <c r="H39" s="7"/>
    </row>
    <row r="40" spans="1:8" x14ac:dyDescent="0.3">
      <c r="B40" s="56"/>
      <c r="C40" s="106"/>
      <c r="D40" s="49">
        <f>'7 Communication'!D36:E36</f>
        <v>0</v>
      </c>
      <c r="E40" s="7" t="s">
        <v>220</v>
      </c>
      <c r="F40" s="75"/>
      <c r="G40" s="7"/>
      <c r="H40" s="7"/>
    </row>
    <row r="41" spans="1:8" x14ac:dyDescent="0.3">
      <c r="B41" s="56"/>
      <c r="C41" s="106"/>
      <c r="D41" s="106"/>
      <c r="E41" s="106"/>
      <c r="F41" s="75"/>
      <c r="G41" s="7"/>
      <c r="H41" s="7"/>
    </row>
    <row r="42" spans="1:8" x14ac:dyDescent="0.3">
      <c r="B42" s="56" t="s">
        <v>627</v>
      </c>
      <c r="C42" s="317" t="s">
        <v>215</v>
      </c>
      <c r="D42" s="317"/>
      <c r="E42" s="317"/>
      <c r="F42" s="75"/>
      <c r="G42" s="7"/>
      <c r="H42" s="7"/>
    </row>
    <row r="43" spans="1:8" x14ac:dyDescent="0.3">
      <c r="B43" s="56"/>
      <c r="C43" s="106"/>
      <c r="D43" s="179" t="e">
        <f>VLOOKUP(D40,'drop-downs'!AE2:AF7,2,FALSE)</f>
        <v>#N/A</v>
      </c>
      <c r="E43" s="106" t="s">
        <v>204</v>
      </c>
      <c r="F43" s="75"/>
      <c r="G43" s="7"/>
      <c r="H43" s="7"/>
    </row>
    <row r="44" spans="1:8" x14ac:dyDescent="0.3">
      <c r="B44" s="56" t="s">
        <v>628</v>
      </c>
      <c r="C44" s="317" t="s">
        <v>616</v>
      </c>
      <c r="D44" s="317"/>
      <c r="E44" s="317"/>
      <c r="F44" s="75"/>
      <c r="G44" s="7"/>
      <c r="H44" s="7"/>
    </row>
    <row r="45" spans="1:8" ht="28.8" x14ac:dyDescent="0.3">
      <c r="B45" s="56"/>
      <c r="C45" s="106"/>
      <c r="D45" s="307" t="e">
        <f>IF(D19="1 year",((IF(D24=0,D25,D24))*(D43/100)), IF(D19="6 months",2*((IF(D24=0,D25,D24))*(D43/100)),((IF(D24=0,D25,D24))*(D43/100))/3))</f>
        <v>#N/A</v>
      </c>
      <c r="E45" s="106" t="s">
        <v>615</v>
      </c>
      <c r="F45" s="75"/>
      <c r="G45" s="7"/>
      <c r="H45" s="7"/>
    </row>
    <row r="46" spans="1:8" x14ac:dyDescent="0.3">
      <c r="B46" s="56"/>
      <c r="C46" s="294"/>
      <c r="D46" s="311"/>
      <c r="E46" s="294"/>
      <c r="F46" s="75"/>
      <c r="G46" s="7"/>
      <c r="H46" s="7"/>
    </row>
    <row r="47" spans="1:8" x14ac:dyDescent="0.3">
      <c r="B47" s="56" t="str">
        <f>'7 Communication'!B38</f>
        <v>P5.</v>
      </c>
      <c r="C47" s="317" t="str">
        <f>'7 Communication'!C38:E38</f>
        <v>Will this installation of communication infrastructure provide a redundant link?</v>
      </c>
      <c r="D47" s="317"/>
      <c r="E47" s="317"/>
      <c r="F47" s="75"/>
      <c r="H47" s="224"/>
    </row>
    <row r="48" spans="1:8" x14ac:dyDescent="0.3">
      <c r="B48" s="56"/>
      <c r="C48" s="292"/>
      <c r="D48" s="49">
        <f>'7 Communication'!D39</f>
        <v>0</v>
      </c>
      <c r="E48" s="7"/>
      <c r="F48" s="75"/>
      <c r="H48" s="216"/>
    </row>
    <row r="49" spans="2:13" x14ac:dyDescent="0.3">
      <c r="B49" s="56"/>
      <c r="C49" s="292"/>
      <c r="D49" s="144"/>
      <c r="E49" s="7"/>
      <c r="F49" s="75"/>
      <c r="H49" s="216"/>
    </row>
    <row r="50" spans="2:13" ht="28.2" customHeight="1" x14ac:dyDescent="0.3">
      <c r="B50" s="56" t="str">
        <f>'7 Communication'!B41</f>
        <v>P6.</v>
      </c>
      <c r="C50" s="317" t="str">
        <f>'7 Communication'!C41:E41</f>
        <v>Based on the portion of the network that is provided redundancy with this link, how would you rate the importance of this link?</v>
      </c>
      <c r="D50" s="317"/>
      <c r="E50" s="317"/>
      <c r="F50" s="75"/>
      <c r="H50" s="224"/>
    </row>
    <row r="51" spans="2:13" x14ac:dyDescent="0.3">
      <c r="B51" s="56"/>
      <c r="C51" s="292"/>
      <c r="D51" s="383">
        <f>'7 Communication'!D42:E42</f>
        <v>0</v>
      </c>
      <c r="E51" s="383"/>
      <c r="F51" s="75"/>
      <c r="H51" s="216"/>
    </row>
    <row r="52" spans="2:13" x14ac:dyDescent="0.3">
      <c r="B52" s="56"/>
      <c r="C52" s="292"/>
      <c r="D52" s="144"/>
      <c r="E52" s="7"/>
      <c r="F52" s="75"/>
      <c r="H52" s="216"/>
    </row>
    <row r="53" spans="2:13" x14ac:dyDescent="0.3">
      <c r="B53" s="56" t="str">
        <f>'7 Communication'!B44</f>
        <v>P7.</v>
      </c>
      <c r="C53" s="384" t="str">
        <f>'7 Communication'!C44</f>
        <v>Approximately how many outages are experienced per year that will benefit from this redundant link?</v>
      </c>
      <c r="D53" s="385"/>
      <c r="E53" s="385"/>
      <c r="F53" s="75"/>
      <c r="H53" s="224"/>
    </row>
    <row r="54" spans="2:13" x14ac:dyDescent="0.3">
      <c r="B54" s="56"/>
      <c r="C54" s="300"/>
      <c r="D54" s="290">
        <f>'7 Communication'!D45</f>
        <v>0</v>
      </c>
      <c r="E54" s="304"/>
      <c r="F54" s="75"/>
      <c r="H54" s="216"/>
    </row>
    <row r="55" spans="2:13" x14ac:dyDescent="0.3">
      <c r="B55" s="56"/>
      <c r="C55" s="300"/>
      <c r="D55" s="65"/>
      <c r="E55" s="304"/>
      <c r="F55" s="75"/>
      <c r="H55" s="216"/>
    </row>
    <row r="56" spans="2:13" x14ac:dyDescent="0.3">
      <c r="B56" s="56"/>
      <c r="C56" s="302" t="s">
        <v>258</v>
      </c>
      <c r="D56" s="38"/>
      <c r="E56" s="38"/>
      <c r="G56" s="58"/>
      <c r="H56" s="216"/>
    </row>
    <row r="57" spans="2:13" x14ac:dyDescent="0.3">
      <c r="B57" s="56"/>
      <c r="C57" s="303"/>
      <c r="D57" s="45">
        <v>28.85</v>
      </c>
      <c r="E57" s="12" t="s">
        <v>173</v>
      </c>
      <c r="G57" s="58"/>
      <c r="H57" s="216"/>
    </row>
    <row r="58" spans="2:13" x14ac:dyDescent="0.3">
      <c r="B58" s="56"/>
      <c r="C58" s="15"/>
      <c r="D58" s="45">
        <v>28.85</v>
      </c>
      <c r="E58" s="12" t="s">
        <v>174</v>
      </c>
      <c r="G58" s="58"/>
      <c r="H58" s="216"/>
    </row>
    <row r="59" spans="2:13" x14ac:dyDescent="0.3">
      <c r="B59" s="56"/>
      <c r="C59" s="15"/>
      <c r="D59" s="45">
        <v>40.450000000000003</v>
      </c>
      <c r="E59" s="12" t="s">
        <v>175</v>
      </c>
      <c r="G59" s="58"/>
      <c r="H59" s="216"/>
    </row>
    <row r="60" spans="2:13" x14ac:dyDescent="0.3">
      <c r="B60" s="56"/>
      <c r="C60" s="300"/>
      <c r="D60" s="65"/>
      <c r="E60" s="304"/>
      <c r="F60" s="7"/>
      <c r="G60" s="58"/>
      <c r="H60" s="216"/>
    </row>
    <row r="61" spans="2:13" x14ac:dyDescent="0.3">
      <c r="B61" s="56" t="s">
        <v>632</v>
      </c>
      <c r="C61" s="106" t="s">
        <v>633</v>
      </c>
      <c r="D61" s="106"/>
      <c r="E61" s="106"/>
      <c r="F61" s="75"/>
      <c r="G61" s="7"/>
      <c r="H61" s="7"/>
    </row>
    <row r="62" spans="2:13" ht="14.4" customHeight="1" x14ac:dyDescent="0.3">
      <c r="B62" s="56"/>
      <c r="C62" s="21" t="s">
        <v>636</v>
      </c>
      <c r="D62" s="314">
        <v>0</v>
      </c>
      <c r="E62" s="300"/>
      <c r="F62" s="75"/>
      <c r="G62" s="7"/>
      <c r="H62" s="302"/>
      <c r="I62" s="38"/>
      <c r="J62" s="38"/>
      <c r="K62" s="42"/>
      <c r="L62" s="42"/>
      <c r="M62" s="42"/>
    </row>
    <row r="63" spans="2:13" x14ac:dyDescent="0.3">
      <c r="B63" s="56"/>
      <c r="C63" s="21" t="s">
        <v>634</v>
      </c>
      <c r="D63" s="315">
        <v>100</v>
      </c>
      <c r="E63" s="300"/>
      <c r="F63" s="75"/>
      <c r="G63" s="7"/>
      <c r="H63" s="303"/>
      <c r="I63" s="313"/>
      <c r="J63" s="12"/>
      <c r="K63" s="42"/>
      <c r="L63" s="42"/>
      <c r="M63" s="42"/>
    </row>
    <row r="64" spans="2:13" x14ac:dyDescent="0.3">
      <c r="B64" s="56"/>
      <c r="C64" s="21" t="s">
        <v>639</v>
      </c>
      <c r="D64" s="315">
        <f>10*D57</f>
        <v>288.5</v>
      </c>
      <c r="E64" s="300"/>
      <c r="F64" s="75"/>
      <c r="G64" s="7"/>
      <c r="H64" s="15" t="s">
        <v>637</v>
      </c>
      <c r="I64" s="313"/>
      <c r="J64" s="12"/>
      <c r="K64" s="42"/>
      <c r="L64" s="42"/>
      <c r="M64" s="42"/>
    </row>
    <row r="65" spans="2:13" x14ac:dyDescent="0.3">
      <c r="B65" s="56"/>
      <c r="C65" s="21" t="s">
        <v>640</v>
      </c>
      <c r="D65" s="315">
        <f>10*D58</f>
        <v>288.5</v>
      </c>
      <c r="E65" s="106"/>
      <c r="F65" s="75"/>
      <c r="G65" s="7"/>
      <c r="H65" s="15" t="s">
        <v>637</v>
      </c>
      <c r="I65" s="313"/>
      <c r="J65" s="12"/>
      <c r="K65" s="42"/>
      <c r="L65" s="42"/>
      <c r="M65" s="42"/>
    </row>
    <row r="66" spans="2:13" x14ac:dyDescent="0.3">
      <c r="B66" s="56"/>
      <c r="C66" s="21" t="s">
        <v>641</v>
      </c>
      <c r="D66" s="314">
        <f>IF(D51="Critical",D59*20,IF(D51="Somewhat Critical",D59*10,2*D59))</f>
        <v>80.900000000000006</v>
      </c>
      <c r="E66" s="300"/>
      <c r="F66" s="75"/>
      <c r="G66" s="7"/>
      <c r="H66" s="15" t="s">
        <v>638</v>
      </c>
      <c r="I66" s="313"/>
      <c r="J66" s="12"/>
      <c r="K66" s="42"/>
      <c r="L66" s="42"/>
      <c r="M66" s="42"/>
    </row>
    <row r="67" spans="2:13" x14ac:dyDescent="0.3">
      <c r="B67" s="56"/>
      <c r="C67" s="21" t="s">
        <v>642</v>
      </c>
      <c r="D67" s="314">
        <f>SUM(D62:D66)</f>
        <v>757.9</v>
      </c>
      <c r="E67" s="300"/>
      <c r="F67" s="75"/>
      <c r="G67" s="7"/>
      <c r="H67" s="15"/>
      <c r="I67" s="313"/>
      <c r="J67" s="12"/>
      <c r="K67" s="42"/>
      <c r="L67" s="42"/>
      <c r="M67" s="42"/>
    </row>
    <row r="68" spans="2:13" x14ac:dyDescent="0.3">
      <c r="B68" s="56"/>
      <c r="C68" s="21" t="s">
        <v>643</v>
      </c>
      <c r="D68" s="314">
        <f>D67*D54</f>
        <v>0</v>
      </c>
      <c r="E68" s="300"/>
      <c r="F68" s="75"/>
      <c r="G68" s="7"/>
      <c r="H68" s="15"/>
      <c r="I68" s="313"/>
      <c r="J68" s="12"/>
      <c r="K68" s="42"/>
      <c r="L68" s="42"/>
      <c r="M68" s="42"/>
    </row>
    <row r="69" spans="2:13" ht="15" thickBot="1" x14ac:dyDescent="0.35">
      <c r="B69" s="56"/>
      <c r="C69" s="106"/>
      <c r="D69" s="106"/>
      <c r="E69" s="106"/>
      <c r="F69" s="75"/>
      <c r="G69" s="7"/>
      <c r="H69" s="7"/>
    </row>
    <row r="70" spans="2:13" ht="15.6" thickTop="1" thickBot="1" x14ac:dyDescent="0.35">
      <c r="B70" s="57"/>
      <c r="C70" s="7"/>
      <c r="D70" s="140" t="s">
        <v>133</v>
      </c>
      <c r="E70" s="178" t="e">
        <f>ROUND(D45+D68,-2)</f>
        <v>#N/A</v>
      </c>
      <c r="F70" s="75"/>
      <c r="H70" s="7"/>
    </row>
    <row r="71" spans="2:13" ht="15" thickTop="1" x14ac:dyDescent="0.3">
      <c r="B71" s="60"/>
      <c r="C71" s="132"/>
      <c r="D71" s="132"/>
      <c r="E71" s="132"/>
      <c r="F71" s="99"/>
      <c r="H71" s="7"/>
    </row>
    <row r="72" spans="2:13" x14ac:dyDescent="0.3">
      <c r="B72" s="79"/>
      <c r="C72" s="7"/>
      <c r="D72" s="7"/>
      <c r="E72" s="7"/>
      <c r="F72" s="7"/>
      <c r="H72" s="7"/>
    </row>
    <row r="73" spans="2:13" ht="15" thickBot="1" x14ac:dyDescent="0.35">
      <c r="B73" s="20"/>
      <c r="C73" s="7"/>
      <c r="D73" s="140"/>
      <c r="E73" s="161"/>
    </row>
    <row r="74" spans="2:13" ht="19.2" thickTop="1" thickBot="1" x14ac:dyDescent="0.35">
      <c r="B74" s="20"/>
      <c r="C74" s="7"/>
      <c r="D74" s="94" t="s">
        <v>132</v>
      </c>
      <c r="E74" s="93" t="e">
        <f>ROUND(E70,-3)</f>
        <v>#N/A</v>
      </c>
    </row>
    <row r="75" spans="2:13" ht="15" thickTop="1" x14ac:dyDescent="0.3">
      <c r="B75" s="7"/>
      <c r="C75" s="7"/>
      <c r="D75" s="7"/>
      <c r="E75" s="7"/>
    </row>
  </sheetData>
  <mergeCells count="20">
    <mergeCell ref="C44:E44"/>
    <mergeCell ref="C36:E36"/>
    <mergeCell ref="C23:E23"/>
    <mergeCell ref="C27:E27"/>
    <mergeCell ref="D51:E51"/>
    <mergeCell ref="C53:E53"/>
    <mergeCell ref="C2:E2"/>
    <mergeCell ref="D5:E5"/>
    <mergeCell ref="D6:E6"/>
    <mergeCell ref="D7:E7"/>
    <mergeCell ref="D10:E10"/>
    <mergeCell ref="D12:E12"/>
    <mergeCell ref="C14:E14"/>
    <mergeCell ref="C47:E47"/>
    <mergeCell ref="C50:E50"/>
    <mergeCell ref="C18:E18"/>
    <mergeCell ref="D19:E19"/>
    <mergeCell ref="C20:E20"/>
    <mergeCell ref="C39:E39"/>
    <mergeCell ref="C42:E42"/>
  </mergeCells>
  <conditionalFormatting sqref="B73:C74">
    <cfRule type="expression" dxfId="207" priority="79">
      <formula>"($C$15='NO')"</formula>
    </cfRule>
  </conditionalFormatting>
  <conditionalFormatting sqref="B19:D19 B16:E17 B70:E71 B18:C18 B20:C20 B69:C69 E69 B21:E22 B23:C23 B42:C43 B24:E26">
    <cfRule type="expression" dxfId="206" priority="77">
      <formula>$E$15="NO"</formula>
    </cfRule>
  </conditionalFormatting>
  <conditionalFormatting sqref="B39:C41">
    <cfRule type="expression" dxfId="205" priority="42">
      <formula>$E$15="NO"</formula>
    </cfRule>
  </conditionalFormatting>
  <conditionalFormatting sqref="D40">
    <cfRule type="expression" dxfId="204" priority="41">
      <formula>$E$15="NO"</formula>
    </cfRule>
  </conditionalFormatting>
  <conditionalFormatting sqref="D41:E41">
    <cfRule type="expression" dxfId="203" priority="40">
      <formula>$E$15="NO"</formula>
    </cfRule>
  </conditionalFormatting>
  <conditionalFormatting sqref="B44:C46">
    <cfRule type="expression" dxfId="202" priority="39">
      <formula>$E$15="NO"</formula>
    </cfRule>
  </conditionalFormatting>
  <conditionalFormatting sqref="E40">
    <cfRule type="expression" dxfId="201" priority="38">
      <formula>$E$15="NO"</formula>
    </cfRule>
  </conditionalFormatting>
  <conditionalFormatting sqref="B36:C38 B61:C64">
    <cfRule type="expression" dxfId="200" priority="36">
      <formula>$E$15="NO"</formula>
    </cfRule>
  </conditionalFormatting>
  <conditionalFormatting sqref="D61:D65">
    <cfRule type="expression" dxfId="199" priority="32">
      <formula>$E$15="NO"</formula>
    </cfRule>
  </conditionalFormatting>
  <conditionalFormatting sqref="C66:C68">
    <cfRule type="expression" dxfId="198" priority="1">
      <formula>$E$15="NO"</formula>
    </cfRule>
  </conditionalFormatting>
  <conditionalFormatting sqref="H62:H63">
    <cfRule type="expression" dxfId="197" priority="14">
      <formula>$D$19="NO"</formula>
    </cfRule>
  </conditionalFormatting>
  <conditionalFormatting sqref="H64 J64">
    <cfRule type="expression" dxfId="196" priority="13">
      <formula>$D$19="NO"</formula>
    </cfRule>
  </conditionalFormatting>
  <conditionalFormatting sqref="I65:J68">
    <cfRule type="expression" dxfId="195" priority="12">
      <formula>$D$19="NO"</formula>
    </cfRule>
  </conditionalFormatting>
  <conditionalFormatting sqref="I63:J63">
    <cfRule type="expression" dxfId="194" priority="11">
      <formula>$D$19="NO"</formula>
    </cfRule>
  </conditionalFormatting>
  <conditionalFormatting sqref="I64">
    <cfRule type="expression" dxfId="193" priority="10">
      <formula>$D$19="NO"</formula>
    </cfRule>
  </conditionalFormatting>
  <conditionalFormatting sqref="C56:C57">
    <cfRule type="expression" dxfId="192" priority="9">
      <formula>$D$19="NO"</formula>
    </cfRule>
  </conditionalFormatting>
  <conditionalFormatting sqref="C58 E58">
    <cfRule type="expression" dxfId="191" priority="8">
      <formula>$D$19="NO"</formula>
    </cfRule>
  </conditionalFormatting>
  <conditionalFormatting sqref="C59:E59">
    <cfRule type="expression" dxfId="190" priority="7">
      <formula>$D$19="NO"</formula>
    </cfRule>
  </conditionalFormatting>
  <conditionalFormatting sqref="D57:E57">
    <cfRule type="expression" dxfId="189" priority="6">
      <formula>$D$19="NO"</formula>
    </cfRule>
  </conditionalFormatting>
  <conditionalFormatting sqref="D58">
    <cfRule type="expression" dxfId="188" priority="5">
      <formula>$D$19="NO"</formula>
    </cfRule>
  </conditionalFormatting>
  <conditionalFormatting sqref="H65">
    <cfRule type="expression" dxfId="187" priority="4">
      <formula>$D$19="NO"</formula>
    </cfRule>
  </conditionalFormatting>
  <conditionalFormatting sqref="H66:H68">
    <cfRule type="expression" dxfId="186" priority="3">
      <formula>$D$19="NO"</formula>
    </cfRule>
  </conditionalFormatting>
  <conditionalFormatting sqref="C65">
    <cfRule type="expression" dxfId="185" priority="2">
      <formula>$E$15="NO"</formula>
    </cfRule>
  </conditionalFormatting>
  <dataValidations count="3">
    <dataValidation showInputMessage="1" showErrorMessage="1" promptTitle="Region" sqref="D5:E7"/>
    <dataValidation showInputMessage="1" showErrorMessage="1" promptTitle="Increased Maintenance" sqref="D19:E19"/>
    <dataValidation showInputMessage="1" showErrorMessage="1" promptTitle="Percent Ticket Reduction" sqref="D69:E69 D40:E41 E48:E49 E52"/>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205" id="{79077847-F74C-43B5-829A-B71FB88EE9C9}">
            <xm:f>'7 Communication'!#REF!="NO"</xm:f>
            <x14:dxf>
              <font>
                <color theme="0" tint="-0.24994659260841701"/>
              </font>
              <fill>
                <patternFill>
                  <bgColor theme="0" tint="-0.34998626667073579"/>
                </patternFill>
              </fill>
            </x14:dxf>
          </x14:cfRule>
          <xm:sqref>A65:B68 E65:F68 M65:N68 Q65:R68 U65:V68 Y65:Z68 AC65:AD68 AG65:AH68 AK65:AL68 AO65:AP68 AS65:AT68 AW65:AX68 BA65:BB68 BE65:BF68 BI65:BJ68 BM65:BN68 BQ65:BR68 BU65:BV68 BY65:BZ68 CC65:CD68 CG65:CH68 CK65:CL68 CO65:CP68 CS65:CT68 CW65:CX68 DA65:DB68 DE65:DF68 DI65:DJ68 DM65:DN68 DQ65:DR68 DU65:DV68 DY65:DZ68 EC65:ED68 EG65:EH68 EK65:EL68 EO65:EP68 ES65:ET68 EW65:EX68 FA65:FB68 FE65:FF68 FI65:FJ68 FM65:FN68 FQ65:FR68 FU65:FV68 FY65:FZ68 GC65:GD68 GG65:GH68 GK65:GL68 GO65:GP68 GS65:GT68 GW65:GX68 HA65:HB68 HE65:HF68 HI65:HJ68 HM65:HN68 HQ65:HR68 HU65:HV68 HY65:HZ68 IC65:ID68 IG65:IH68 IK65:IL68 IO65:IP68 IS65:IT68 IW65:IX68 JA65:JB68 JE65:JF68 JI65:JJ68 JM65:JN68 JQ65:JR68 JU65:JV68 JY65:JZ68 KC65:KD68 KG65:KH68 KK65:KL68 KO65:KP68 KS65:KT68 KW65:KX68 LA65:LB68 LE65:LF68 LI65:LJ68 LM65:LN68 LQ65:LR68 LU65:LV68 LY65:LZ68 MC65:MD68 MG65:MH68 MK65:ML68 MO65:MP68 MS65:MT68 MW65:MX68 NA65:NB68 NE65:NF68 NI65:NJ68 NM65:NN68 NQ65:NR68 NU65:NV68 NY65:NZ68 OC65:OD68 OG65:OH68 OK65:OL68 OO65:OP68 OS65:OT68 OW65:OX68 PA65:PB68 PE65:PF68 PI65:PJ68 PM65:PN68 PQ65:PR68 PU65:PV68 PY65:PZ68 QC65:QD68 QG65:QH68 QK65:QL68 QO65:QP68 QS65:QT68 QW65:QX68 RA65:RB68 RE65:RF68 RI65:RJ68 RM65:RN68 RQ65:RR68 RU65:RV68 RY65:RZ68 SC65:SD68 SG65:SH68 SK65:SL68 SO65:SP68 SS65:ST68 SW65:SX68 TA65:TB68 TE65:TF68 TI65:TJ68 TM65:TN68 TQ65:TR68 TU65:TV68 TY65:TZ68 UC65:UD68 UG65:UH68 UK65:UL68 UO65:UP68 US65:UT68 UW65:UX68 VA65:VB68 VE65:VF68 VI65:VJ68 VM65:VN68 VQ65:VR68 VU65:VV68 VY65:VZ68 WC65:WD68 WG65:WH68 WK65:WL68 WO65:WP68 WS65:WT68 WW65:WX68 XA65:XB68 XE65:XF68 XI65:XJ68 XM65:XN68 XQ65:XR68 XU65:XV68 XY65:XZ68 YC65:YD68 YG65:YH68 YK65:YL68 YO65:YP68 YS65:YT68 YW65:YX68 ZA65:ZB68 ZE65:ZF68 ZI65:ZJ68 ZM65:ZN68 ZQ65:ZR68 ZU65:ZV68 ZY65:ZZ68 AAC65:AAD68 AAG65:AAH68 AAK65:AAL68 AAO65:AAP68 AAS65:AAT68 AAW65:AAX68 ABA65:ABB68 ABE65:ABF68 ABI65:ABJ68 ABM65:ABN68 ABQ65:ABR68 ABU65:ABV68 ABY65:ABZ68 ACC65:ACD68 ACG65:ACH68 ACK65:ACL68 ACO65:ACP68 ACS65:ACT68 ACW65:ACX68 ADA65:ADB68 ADE65:ADF68 ADI65:ADJ68 ADM65:ADN68 ADQ65:ADR68 ADU65:ADV68 ADY65:ADZ68 AEC65:AED68 AEG65:AEH68 AEK65:AEL68 AEO65:AEP68 AES65:AET68 AEW65:AEX68 AFA65:AFB68 AFE65:AFF68 AFI65:AFJ68 AFM65:AFN68 AFQ65:AFR68 AFU65:AFV68 AFY65:AFZ68 AGC65:AGD68 AGG65:AGH68 AGK65:AGL68 AGO65:AGP68 AGS65:AGT68 AGW65:AGX68 AHA65:AHB68 AHE65:AHF68 AHI65:AHJ68 AHM65:AHN68 AHQ65:AHR68 AHU65:AHV68 AHY65:AHZ68 AIC65:AID68 AIG65:AIH68 AIK65:AIL68 AIO65:AIP68 AIS65:AIT68 AIW65:AIX68 AJA65:AJB68 AJE65:AJF68 AJI65:AJJ68 AJM65:AJN68 AJQ65:AJR68 AJU65:AJV68 AJY65:AJZ68 AKC65:AKD68 AKG65:AKH68 AKK65:AKL68 AKO65:AKP68 AKS65:AKT68 AKW65:AKX68 ALA65:ALB68 ALE65:ALF68 ALI65:ALJ68 ALM65:ALN68 ALQ65:ALR68 ALU65:ALV68 ALY65:ALZ68 AMC65:AMD68 AMG65:AMH68 AMK65:AML68 AMO65:AMP68 AMS65:AMT68 AMW65:AMX68 ANA65:ANB68 ANE65:ANF68 ANI65:ANJ68 ANM65:ANN68 ANQ65:ANR68 ANU65:ANV68 ANY65:ANZ68 AOC65:AOD68 AOG65:AOH68 AOK65:AOL68 AOO65:AOP68 AOS65:AOT68 AOW65:AOX68 APA65:APB68 APE65:APF68 API65:APJ68 APM65:APN68 APQ65:APR68 APU65:APV68 APY65:APZ68 AQC65:AQD68 AQG65:AQH68 AQK65:AQL68 AQO65:AQP68 AQS65:AQT68 AQW65:AQX68 ARA65:ARB68 ARE65:ARF68 ARI65:ARJ68 ARM65:ARN68 ARQ65:ARR68 ARU65:ARV68 ARY65:ARZ68 ASC65:ASD68 ASG65:ASH68 ASK65:ASL68 ASO65:ASP68 ASS65:AST68 ASW65:ASX68 ATA65:ATB68 ATE65:ATF68 ATI65:ATJ68 ATM65:ATN68 ATQ65:ATR68 ATU65:ATV68 ATY65:ATZ68 AUC65:AUD68 AUG65:AUH68 AUK65:AUL68 AUO65:AUP68 AUS65:AUT68 AUW65:AUX68 AVA65:AVB68 AVE65:AVF68 AVI65:AVJ68 AVM65:AVN68 AVQ65:AVR68 AVU65:AVV68 AVY65:AVZ68 AWC65:AWD68 AWG65:AWH68 AWK65:AWL68 AWO65:AWP68 AWS65:AWT68 AWW65:AWX68 AXA65:AXB68 AXE65:AXF68 AXI65:AXJ68 AXM65:AXN68 AXQ65:AXR68 AXU65:AXV68 AXY65:AXZ68 AYC65:AYD68 AYG65:AYH68 AYK65:AYL68 AYO65:AYP68 AYS65:AYT68 AYW65:AYX68 AZA65:AZB68 AZE65:AZF68 AZI65:AZJ68 AZM65:AZN68 AZQ65:AZR68 AZU65:AZV68 AZY65:AZZ68 BAC65:BAD68 BAG65:BAH68 BAK65:BAL68 BAO65:BAP68 BAS65:BAT68 BAW65:BAX68 BBA65:BBB68 BBE65:BBF68 BBI65:BBJ68 BBM65:BBN68 BBQ65:BBR68 BBU65:BBV68 BBY65:BBZ68 BCC65:BCD68 BCG65:BCH68 BCK65:BCL68 BCO65:BCP68 BCS65:BCT68 BCW65:BCX68 BDA65:BDB68 BDE65:BDF68 BDI65:BDJ68 BDM65:BDN68 BDQ65:BDR68 BDU65:BDV68 BDY65:BDZ68 BEC65:BED68 BEG65:BEH68 BEK65:BEL68 BEO65:BEP68 BES65:BET68 BEW65:BEX68 BFA65:BFB68 BFE65:BFF68 BFI65:BFJ68 BFM65:BFN68 BFQ65:BFR68 BFU65:BFV68 BFY65:BFZ68 BGC65:BGD68 BGG65:BGH68 BGK65:BGL68 BGO65:BGP68 BGS65:BGT68 BGW65:BGX68 BHA65:BHB68 BHE65:BHF68 BHI65:BHJ68 BHM65:BHN68 BHQ65:BHR68 BHU65:BHV68 BHY65:BHZ68 BIC65:BID68 BIG65:BIH68 BIK65:BIL68 BIO65:BIP68 BIS65:BIT68 BIW65:BIX68 BJA65:BJB68 BJE65:BJF68 BJI65:BJJ68 BJM65:BJN68 BJQ65:BJR68 BJU65:BJV68 BJY65:BJZ68 BKC65:BKD68 BKG65:BKH68 BKK65:BKL68 BKO65:BKP68 BKS65:BKT68 BKW65:BKX68 BLA65:BLB68 BLE65:BLF68 BLI65:BLJ68 BLM65:BLN68 BLQ65:BLR68 BLU65:BLV68 BLY65:BLZ68 BMC65:BMD68 BMG65:BMH68 BMK65:BML68 BMO65:BMP68 BMS65:BMT68 BMW65:BMX68 BNA65:BNB68 BNE65:BNF68 BNI65:BNJ68 BNM65:BNN68 BNQ65:BNR68 BNU65:BNV68 BNY65:BNZ68 BOC65:BOD68 BOG65:BOH68 BOK65:BOL68 BOO65:BOP68 BOS65:BOT68 BOW65:BOX68 BPA65:BPB68 BPE65:BPF68 BPI65:BPJ68 BPM65:BPN68 BPQ65:BPR68 BPU65:BPV68 BPY65:BPZ68 BQC65:BQD68 BQG65:BQH68 BQK65:BQL68 BQO65:BQP68 BQS65:BQT68 BQW65:BQX68 BRA65:BRB68 BRE65:BRF68 BRI65:BRJ68 BRM65:BRN68 BRQ65:BRR68 BRU65:BRV68 BRY65:BRZ68 BSC65:BSD68 BSG65:BSH68 BSK65:BSL68 BSO65:BSP68 BSS65:BST68 BSW65:BSX68 BTA65:BTB68 BTE65:BTF68 BTI65:BTJ68 BTM65:BTN68 BTQ65:BTR68 BTU65:BTV68 BTY65:BTZ68 BUC65:BUD68 BUG65:BUH68 BUK65:BUL68 BUO65:BUP68 BUS65:BUT68 BUW65:BUX68 BVA65:BVB68 BVE65:BVF68 BVI65:BVJ68 BVM65:BVN68 BVQ65:BVR68 BVU65:BVV68 BVY65:BVZ68 BWC65:BWD68 BWG65:BWH68 BWK65:BWL68 BWO65:BWP68 BWS65:BWT68 BWW65:BWX68 BXA65:BXB68 BXE65:BXF68 BXI65:BXJ68 BXM65:BXN68 BXQ65:BXR68 BXU65:BXV68 BXY65:BXZ68 BYC65:BYD68 BYG65:BYH68 BYK65:BYL68 BYO65:BYP68 BYS65:BYT68 BYW65:BYX68 BZA65:BZB68 BZE65:BZF68 BZI65:BZJ68 BZM65:BZN68 BZQ65:BZR68 BZU65:BZV68 BZY65:BZZ68 CAC65:CAD68 CAG65:CAH68 CAK65:CAL68 CAO65:CAP68 CAS65:CAT68 CAW65:CAX68 CBA65:CBB68 CBE65:CBF68 CBI65:CBJ68 CBM65:CBN68 CBQ65:CBR68 CBU65:CBV68 CBY65:CBZ68 CCC65:CCD68 CCG65:CCH68 CCK65:CCL68 CCO65:CCP68 CCS65:CCT68 CCW65:CCX68 CDA65:CDB68 CDE65:CDF68 CDI65:CDJ68 CDM65:CDN68 CDQ65:CDR68 CDU65:CDV68 CDY65:CDZ68 CEC65:CED68 CEG65:CEH68 CEK65:CEL68 CEO65:CEP68 CES65:CET68 CEW65:CEX68 CFA65:CFB68 CFE65:CFF68 CFI65:CFJ68 CFM65:CFN68 CFQ65:CFR68 CFU65:CFV68 CFY65:CFZ68 CGC65:CGD68 CGG65:CGH68 CGK65:CGL68 CGO65:CGP68 CGS65:CGT68 CGW65:CGX68 CHA65:CHB68 CHE65:CHF68 CHI65:CHJ68 CHM65:CHN68 CHQ65:CHR68 CHU65:CHV68 CHY65:CHZ68 CIC65:CID68 CIG65:CIH68 CIK65:CIL68 CIO65:CIP68 CIS65:CIT68 CIW65:CIX68 CJA65:CJB68 CJE65:CJF68 CJI65:CJJ68 CJM65:CJN68 CJQ65:CJR68 CJU65:CJV68 CJY65:CJZ68 CKC65:CKD68 CKG65:CKH68 CKK65:CKL68 CKO65:CKP68 CKS65:CKT68 CKW65:CKX68 CLA65:CLB68 CLE65:CLF68 CLI65:CLJ68 CLM65:CLN68 CLQ65:CLR68 CLU65:CLV68 CLY65:CLZ68 CMC65:CMD68 CMG65:CMH68 CMK65:CML68 CMO65:CMP68 CMS65:CMT68 CMW65:CMX68 CNA65:CNB68 CNE65:CNF68 CNI65:CNJ68 CNM65:CNN68 CNQ65:CNR68 CNU65:CNV68 CNY65:CNZ68 COC65:COD68 COG65:COH68 COK65:COL68 COO65:COP68 COS65:COT68 COW65:COX68 CPA65:CPB68 CPE65:CPF68 CPI65:CPJ68 CPM65:CPN68 CPQ65:CPR68 CPU65:CPV68 CPY65:CPZ68 CQC65:CQD68 CQG65:CQH68 CQK65:CQL68 CQO65:CQP68 CQS65:CQT68 CQW65:CQX68 CRA65:CRB68 CRE65:CRF68 CRI65:CRJ68 CRM65:CRN68 CRQ65:CRR68 CRU65:CRV68 CRY65:CRZ68 CSC65:CSD68 CSG65:CSH68 CSK65:CSL68 CSO65:CSP68 CSS65:CST68 CSW65:CSX68 CTA65:CTB68 CTE65:CTF68 CTI65:CTJ68 CTM65:CTN68 CTQ65:CTR68 CTU65:CTV68 CTY65:CTZ68 CUC65:CUD68 CUG65:CUH68 CUK65:CUL68 CUO65:CUP68 CUS65:CUT68 CUW65:CUX68 CVA65:CVB68 CVE65:CVF68 CVI65:CVJ68 CVM65:CVN68 CVQ65:CVR68 CVU65:CVV68 CVY65:CVZ68 CWC65:CWD68 CWG65:CWH68 CWK65:CWL68 CWO65:CWP68 CWS65:CWT68 CWW65:CWX68 CXA65:CXB68 CXE65:CXF68 CXI65:CXJ68 CXM65:CXN68 CXQ65:CXR68 CXU65:CXV68 CXY65:CXZ68 CYC65:CYD68 CYG65:CYH68 CYK65:CYL68 CYO65:CYP68 CYS65:CYT68 CYW65:CYX68 CZA65:CZB68 CZE65:CZF68 CZI65:CZJ68 CZM65:CZN68 CZQ65:CZR68 CZU65:CZV68 CZY65:CZZ68 DAC65:DAD68 DAG65:DAH68 DAK65:DAL68 DAO65:DAP68 DAS65:DAT68 DAW65:DAX68 DBA65:DBB68 DBE65:DBF68 DBI65:DBJ68 DBM65:DBN68 DBQ65:DBR68 DBU65:DBV68 DBY65:DBZ68 DCC65:DCD68 DCG65:DCH68 DCK65:DCL68 DCO65:DCP68 DCS65:DCT68 DCW65:DCX68 DDA65:DDB68 DDE65:DDF68 DDI65:DDJ68 DDM65:DDN68 DDQ65:DDR68 DDU65:DDV68 DDY65:DDZ68 DEC65:DED68 DEG65:DEH68 DEK65:DEL68 DEO65:DEP68 DES65:DET68 DEW65:DEX68 DFA65:DFB68 DFE65:DFF68 DFI65:DFJ68 DFM65:DFN68 DFQ65:DFR68 DFU65:DFV68 DFY65:DFZ68 DGC65:DGD68 DGG65:DGH68 DGK65:DGL68 DGO65:DGP68 DGS65:DGT68 DGW65:DGX68 DHA65:DHB68 DHE65:DHF68 DHI65:DHJ68 DHM65:DHN68 DHQ65:DHR68 DHU65:DHV68 DHY65:DHZ68 DIC65:DID68 DIG65:DIH68 DIK65:DIL68 DIO65:DIP68 DIS65:DIT68 DIW65:DIX68 DJA65:DJB68 DJE65:DJF68 DJI65:DJJ68 DJM65:DJN68 DJQ65:DJR68 DJU65:DJV68 DJY65:DJZ68 DKC65:DKD68 DKG65:DKH68 DKK65:DKL68 DKO65:DKP68 DKS65:DKT68 DKW65:DKX68 DLA65:DLB68 DLE65:DLF68 DLI65:DLJ68 DLM65:DLN68 DLQ65:DLR68 DLU65:DLV68 DLY65:DLZ68 DMC65:DMD68 DMG65:DMH68 DMK65:DML68 DMO65:DMP68 DMS65:DMT68 DMW65:DMX68 DNA65:DNB68 DNE65:DNF68 DNI65:DNJ68 DNM65:DNN68 DNQ65:DNR68 DNU65:DNV68 DNY65:DNZ68 DOC65:DOD68 DOG65:DOH68 DOK65:DOL68 DOO65:DOP68 DOS65:DOT68 DOW65:DOX68 DPA65:DPB68 DPE65:DPF68 DPI65:DPJ68 DPM65:DPN68 DPQ65:DPR68 DPU65:DPV68 DPY65:DPZ68 DQC65:DQD68 DQG65:DQH68 DQK65:DQL68 DQO65:DQP68 DQS65:DQT68 DQW65:DQX68 DRA65:DRB68 DRE65:DRF68 DRI65:DRJ68 DRM65:DRN68 DRQ65:DRR68 DRU65:DRV68 DRY65:DRZ68 DSC65:DSD68 DSG65:DSH68 DSK65:DSL68 DSO65:DSP68 DSS65:DST68 DSW65:DSX68 DTA65:DTB68 DTE65:DTF68 DTI65:DTJ68 DTM65:DTN68 DTQ65:DTR68 DTU65:DTV68 DTY65:DTZ68 DUC65:DUD68 DUG65:DUH68 DUK65:DUL68 DUO65:DUP68 DUS65:DUT68 DUW65:DUX68 DVA65:DVB68 DVE65:DVF68 DVI65:DVJ68 DVM65:DVN68 DVQ65:DVR68 DVU65:DVV68 DVY65:DVZ68 DWC65:DWD68 DWG65:DWH68 DWK65:DWL68 DWO65:DWP68 DWS65:DWT68 DWW65:DWX68 DXA65:DXB68 DXE65:DXF68 DXI65:DXJ68 DXM65:DXN68 DXQ65:DXR68 DXU65:DXV68 DXY65:DXZ68 DYC65:DYD68 DYG65:DYH68 DYK65:DYL68 DYO65:DYP68 DYS65:DYT68 DYW65:DYX68 DZA65:DZB68 DZE65:DZF68 DZI65:DZJ68 DZM65:DZN68 DZQ65:DZR68 DZU65:DZV68 DZY65:DZZ68 EAC65:EAD68 EAG65:EAH68 EAK65:EAL68 EAO65:EAP68 EAS65:EAT68 EAW65:EAX68 EBA65:EBB68 EBE65:EBF68 EBI65:EBJ68 EBM65:EBN68 EBQ65:EBR68 EBU65:EBV68 EBY65:EBZ68 ECC65:ECD68 ECG65:ECH68 ECK65:ECL68 ECO65:ECP68 ECS65:ECT68 ECW65:ECX68 EDA65:EDB68 EDE65:EDF68 EDI65:EDJ68 EDM65:EDN68 EDQ65:EDR68 EDU65:EDV68 EDY65:EDZ68 EEC65:EED68 EEG65:EEH68 EEK65:EEL68 EEO65:EEP68 EES65:EET68 EEW65:EEX68 EFA65:EFB68 EFE65:EFF68 EFI65:EFJ68 EFM65:EFN68 EFQ65:EFR68 EFU65:EFV68 EFY65:EFZ68 EGC65:EGD68 EGG65:EGH68 EGK65:EGL68 EGO65:EGP68 EGS65:EGT68 EGW65:EGX68 EHA65:EHB68 EHE65:EHF68 EHI65:EHJ68 EHM65:EHN68 EHQ65:EHR68 EHU65:EHV68 EHY65:EHZ68 EIC65:EID68 EIG65:EIH68 EIK65:EIL68 EIO65:EIP68 EIS65:EIT68 EIW65:EIX68 EJA65:EJB68 EJE65:EJF68 EJI65:EJJ68 EJM65:EJN68 EJQ65:EJR68 EJU65:EJV68 EJY65:EJZ68 EKC65:EKD68 EKG65:EKH68 EKK65:EKL68 EKO65:EKP68 EKS65:EKT68 EKW65:EKX68 ELA65:ELB68 ELE65:ELF68 ELI65:ELJ68 ELM65:ELN68 ELQ65:ELR68 ELU65:ELV68 ELY65:ELZ68 EMC65:EMD68 EMG65:EMH68 EMK65:EML68 EMO65:EMP68 EMS65:EMT68 EMW65:EMX68 ENA65:ENB68 ENE65:ENF68 ENI65:ENJ68 ENM65:ENN68 ENQ65:ENR68 ENU65:ENV68 ENY65:ENZ68 EOC65:EOD68 EOG65:EOH68 EOK65:EOL68 EOO65:EOP68 EOS65:EOT68 EOW65:EOX68 EPA65:EPB68 EPE65:EPF68 EPI65:EPJ68 EPM65:EPN68 EPQ65:EPR68 EPU65:EPV68 EPY65:EPZ68 EQC65:EQD68 EQG65:EQH68 EQK65:EQL68 EQO65:EQP68 EQS65:EQT68 EQW65:EQX68 ERA65:ERB68 ERE65:ERF68 ERI65:ERJ68 ERM65:ERN68 ERQ65:ERR68 ERU65:ERV68 ERY65:ERZ68 ESC65:ESD68 ESG65:ESH68 ESK65:ESL68 ESO65:ESP68 ESS65:EST68 ESW65:ESX68 ETA65:ETB68 ETE65:ETF68 ETI65:ETJ68 ETM65:ETN68 ETQ65:ETR68 ETU65:ETV68 ETY65:ETZ68 EUC65:EUD68 EUG65:EUH68 EUK65:EUL68 EUO65:EUP68 EUS65:EUT68 EUW65:EUX68 EVA65:EVB68 EVE65:EVF68 EVI65:EVJ68 EVM65:EVN68 EVQ65:EVR68 EVU65:EVV68 EVY65:EVZ68 EWC65:EWD68 EWG65:EWH68 EWK65:EWL68 EWO65:EWP68 EWS65:EWT68 EWW65:EWX68 EXA65:EXB68 EXE65:EXF68 EXI65:EXJ68 EXM65:EXN68 EXQ65:EXR68 EXU65:EXV68 EXY65:EXZ68 EYC65:EYD68 EYG65:EYH68 EYK65:EYL68 EYO65:EYP68 EYS65:EYT68 EYW65:EYX68 EZA65:EZB68 EZE65:EZF68 EZI65:EZJ68 EZM65:EZN68 EZQ65:EZR68 EZU65:EZV68 EZY65:EZZ68 FAC65:FAD68 FAG65:FAH68 FAK65:FAL68 FAO65:FAP68 FAS65:FAT68 FAW65:FAX68 FBA65:FBB68 FBE65:FBF68 FBI65:FBJ68 FBM65:FBN68 FBQ65:FBR68 FBU65:FBV68 FBY65:FBZ68 FCC65:FCD68 FCG65:FCH68 FCK65:FCL68 FCO65:FCP68 FCS65:FCT68 FCW65:FCX68 FDA65:FDB68 FDE65:FDF68 FDI65:FDJ68 FDM65:FDN68 FDQ65:FDR68 FDU65:FDV68 FDY65:FDZ68 FEC65:FED68 FEG65:FEH68 FEK65:FEL68 FEO65:FEP68 FES65:FET68 FEW65:FEX68 FFA65:FFB68 FFE65:FFF68 FFI65:FFJ68 FFM65:FFN68 FFQ65:FFR68 FFU65:FFV68 FFY65:FFZ68 FGC65:FGD68 FGG65:FGH68 FGK65:FGL68 FGO65:FGP68 FGS65:FGT68 FGW65:FGX68 FHA65:FHB68 FHE65:FHF68 FHI65:FHJ68 FHM65:FHN68 FHQ65:FHR68 FHU65:FHV68 FHY65:FHZ68 FIC65:FID68 FIG65:FIH68 FIK65:FIL68 FIO65:FIP68 FIS65:FIT68 FIW65:FIX68 FJA65:FJB68 FJE65:FJF68 FJI65:FJJ68 FJM65:FJN68 FJQ65:FJR68 FJU65:FJV68 FJY65:FJZ68 FKC65:FKD68 FKG65:FKH68 FKK65:FKL68 FKO65:FKP68 FKS65:FKT68 FKW65:FKX68 FLA65:FLB68 FLE65:FLF68 FLI65:FLJ68 FLM65:FLN68 FLQ65:FLR68 FLU65:FLV68 FLY65:FLZ68 FMC65:FMD68 FMG65:FMH68 FMK65:FML68 FMO65:FMP68 FMS65:FMT68 FMW65:FMX68 FNA65:FNB68 FNE65:FNF68 FNI65:FNJ68 FNM65:FNN68 FNQ65:FNR68 FNU65:FNV68 FNY65:FNZ68 FOC65:FOD68 FOG65:FOH68 FOK65:FOL68 FOO65:FOP68 FOS65:FOT68 FOW65:FOX68 FPA65:FPB68 FPE65:FPF68 FPI65:FPJ68 FPM65:FPN68 FPQ65:FPR68 FPU65:FPV68 FPY65:FPZ68 FQC65:FQD68 FQG65:FQH68 FQK65:FQL68 FQO65:FQP68 FQS65:FQT68 FQW65:FQX68 FRA65:FRB68 FRE65:FRF68 FRI65:FRJ68 FRM65:FRN68 FRQ65:FRR68 FRU65:FRV68 FRY65:FRZ68 FSC65:FSD68 FSG65:FSH68 FSK65:FSL68 FSO65:FSP68 FSS65:FST68 FSW65:FSX68 FTA65:FTB68 FTE65:FTF68 FTI65:FTJ68 FTM65:FTN68 FTQ65:FTR68 FTU65:FTV68 FTY65:FTZ68 FUC65:FUD68 FUG65:FUH68 FUK65:FUL68 FUO65:FUP68 FUS65:FUT68 FUW65:FUX68 FVA65:FVB68 FVE65:FVF68 FVI65:FVJ68 FVM65:FVN68 FVQ65:FVR68 FVU65:FVV68 FVY65:FVZ68 FWC65:FWD68 FWG65:FWH68 FWK65:FWL68 FWO65:FWP68 FWS65:FWT68 FWW65:FWX68 FXA65:FXB68 FXE65:FXF68 FXI65:FXJ68 FXM65:FXN68 FXQ65:FXR68 FXU65:FXV68 FXY65:FXZ68 FYC65:FYD68 FYG65:FYH68 FYK65:FYL68 FYO65:FYP68 FYS65:FYT68 FYW65:FYX68 FZA65:FZB68 FZE65:FZF68 FZI65:FZJ68 FZM65:FZN68 FZQ65:FZR68 FZU65:FZV68 FZY65:FZZ68 GAC65:GAD68 GAG65:GAH68 GAK65:GAL68 GAO65:GAP68 GAS65:GAT68 GAW65:GAX68 GBA65:GBB68 GBE65:GBF68 GBI65:GBJ68 GBM65:GBN68 GBQ65:GBR68 GBU65:GBV68 GBY65:GBZ68 GCC65:GCD68 GCG65:GCH68 GCK65:GCL68 GCO65:GCP68 GCS65:GCT68 GCW65:GCX68 GDA65:GDB68 GDE65:GDF68 GDI65:GDJ68 GDM65:GDN68 GDQ65:GDR68 GDU65:GDV68 GDY65:GDZ68 GEC65:GED68 GEG65:GEH68 GEK65:GEL68 GEO65:GEP68 GES65:GET68 GEW65:GEX68 GFA65:GFB68 GFE65:GFF68 GFI65:GFJ68 GFM65:GFN68 GFQ65:GFR68 GFU65:GFV68 GFY65:GFZ68 GGC65:GGD68 GGG65:GGH68 GGK65:GGL68 GGO65:GGP68 GGS65:GGT68 GGW65:GGX68 GHA65:GHB68 GHE65:GHF68 GHI65:GHJ68 GHM65:GHN68 GHQ65:GHR68 GHU65:GHV68 GHY65:GHZ68 GIC65:GID68 GIG65:GIH68 GIK65:GIL68 GIO65:GIP68 GIS65:GIT68 GIW65:GIX68 GJA65:GJB68 GJE65:GJF68 GJI65:GJJ68 GJM65:GJN68 GJQ65:GJR68 GJU65:GJV68 GJY65:GJZ68 GKC65:GKD68 GKG65:GKH68 GKK65:GKL68 GKO65:GKP68 GKS65:GKT68 GKW65:GKX68 GLA65:GLB68 GLE65:GLF68 GLI65:GLJ68 GLM65:GLN68 GLQ65:GLR68 GLU65:GLV68 GLY65:GLZ68 GMC65:GMD68 GMG65:GMH68 GMK65:GML68 GMO65:GMP68 GMS65:GMT68 GMW65:GMX68 GNA65:GNB68 GNE65:GNF68 GNI65:GNJ68 GNM65:GNN68 GNQ65:GNR68 GNU65:GNV68 GNY65:GNZ68 GOC65:GOD68 GOG65:GOH68 GOK65:GOL68 GOO65:GOP68 GOS65:GOT68 GOW65:GOX68 GPA65:GPB68 GPE65:GPF68 GPI65:GPJ68 GPM65:GPN68 GPQ65:GPR68 GPU65:GPV68 GPY65:GPZ68 GQC65:GQD68 GQG65:GQH68 GQK65:GQL68 GQO65:GQP68 GQS65:GQT68 GQW65:GQX68 GRA65:GRB68 GRE65:GRF68 GRI65:GRJ68 GRM65:GRN68 GRQ65:GRR68 GRU65:GRV68 GRY65:GRZ68 GSC65:GSD68 GSG65:GSH68 GSK65:GSL68 GSO65:GSP68 GSS65:GST68 GSW65:GSX68 GTA65:GTB68 GTE65:GTF68 GTI65:GTJ68 GTM65:GTN68 GTQ65:GTR68 GTU65:GTV68 GTY65:GTZ68 GUC65:GUD68 GUG65:GUH68 GUK65:GUL68 GUO65:GUP68 GUS65:GUT68 GUW65:GUX68 GVA65:GVB68 GVE65:GVF68 GVI65:GVJ68 GVM65:GVN68 GVQ65:GVR68 GVU65:GVV68 GVY65:GVZ68 GWC65:GWD68 GWG65:GWH68 GWK65:GWL68 GWO65:GWP68 GWS65:GWT68 GWW65:GWX68 GXA65:GXB68 GXE65:GXF68 GXI65:GXJ68 GXM65:GXN68 GXQ65:GXR68 GXU65:GXV68 GXY65:GXZ68 GYC65:GYD68 GYG65:GYH68 GYK65:GYL68 GYO65:GYP68 GYS65:GYT68 GYW65:GYX68 GZA65:GZB68 GZE65:GZF68 GZI65:GZJ68 GZM65:GZN68 GZQ65:GZR68 GZU65:GZV68 GZY65:GZZ68 HAC65:HAD68 HAG65:HAH68 HAK65:HAL68 HAO65:HAP68 HAS65:HAT68 HAW65:HAX68 HBA65:HBB68 HBE65:HBF68 HBI65:HBJ68 HBM65:HBN68 HBQ65:HBR68 HBU65:HBV68 HBY65:HBZ68 HCC65:HCD68 HCG65:HCH68 HCK65:HCL68 HCO65:HCP68 HCS65:HCT68 HCW65:HCX68 HDA65:HDB68 HDE65:HDF68 HDI65:HDJ68 HDM65:HDN68 HDQ65:HDR68 HDU65:HDV68 HDY65:HDZ68 HEC65:HED68 HEG65:HEH68 HEK65:HEL68 HEO65:HEP68 HES65:HET68 HEW65:HEX68 HFA65:HFB68 HFE65:HFF68 HFI65:HFJ68 HFM65:HFN68 HFQ65:HFR68 HFU65:HFV68 HFY65:HFZ68 HGC65:HGD68 HGG65:HGH68 HGK65:HGL68 HGO65:HGP68 HGS65:HGT68 HGW65:HGX68 HHA65:HHB68 HHE65:HHF68 HHI65:HHJ68 HHM65:HHN68 HHQ65:HHR68 HHU65:HHV68 HHY65:HHZ68 HIC65:HID68 HIG65:HIH68 HIK65:HIL68 HIO65:HIP68 HIS65:HIT68 HIW65:HIX68 HJA65:HJB68 HJE65:HJF68 HJI65:HJJ68 HJM65:HJN68 HJQ65:HJR68 HJU65:HJV68 HJY65:HJZ68 HKC65:HKD68 HKG65:HKH68 HKK65:HKL68 HKO65:HKP68 HKS65:HKT68 HKW65:HKX68 HLA65:HLB68 HLE65:HLF68 HLI65:HLJ68 HLM65:HLN68 HLQ65:HLR68 HLU65:HLV68 HLY65:HLZ68 HMC65:HMD68 HMG65:HMH68 HMK65:HML68 HMO65:HMP68 HMS65:HMT68 HMW65:HMX68 HNA65:HNB68 HNE65:HNF68 HNI65:HNJ68 HNM65:HNN68 HNQ65:HNR68 HNU65:HNV68 HNY65:HNZ68 HOC65:HOD68 HOG65:HOH68 HOK65:HOL68 HOO65:HOP68 HOS65:HOT68 HOW65:HOX68 HPA65:HPB68 HPE65:HPF68 HPI65:HPJ68 HPM65:HPN68 HPQ65:HPR68 HPU65:HPV68 HPY65:HPZ68 HQC65:HQD68 HQG65:HQH68 HQK65:HQL68 HQO65:HQP68 HQS65:HQT68 HQW65:HQX68 HRA65:HRB68 HRE65:HRF68 HRI65:HRJ68 HRM65:HRN68 HRQ65:HRR68 HRU65:HRV68 HRY65:HRZ68 HSC65:HSD68 HSG65:HSH68 HSK65:HSL68 HSO65:HSP68 HSS65:HST68 HSW65:HSX68 HTA65:HTB68 HTE65:HTF68 HTI65:HTJ68 HTM65:HTN68 HTQ65:HTR68 HTU65:HTV68 HTY65:HTZ68 HUC65:HUD68 HUG65:HUH68 HUK65:HUL68 HUO65:HUP68 HUS65:HUT68 HUW65:HUX68 HVA65:HVB68 HVE65:HVF68 HVI65:HVJ68 HVM65:HVN68 HVQ65:HVR68 HVU65:HVV68 HVY65:HVZ68 HWC65:HWD68 HWG65:HWH68 HWK65:HWL68 HWO65:HWP68 HWS65:HWT68 HWW65:HWX68 HXA65:HXB68 HXE65:HXF68 HXI65:HXJ68 HXM65:HXN68 HXQ65:HXR68 HXU65:HXV68 HXY65:HXZ68 HYC65:HYD68 HYG65:HYH68 HYK65:HYL68 HYO65:HYP68 HYS65:HYT68 HYW65:HYX68 HZA65:HZB68 HZE65:HZF68 HZI65:HZJ68 HZM65:HZN68 HZQ65:HZR68 HZU65:HZV68 HZY65:HZZ68 IAC65:IAD68 IAG65:IAH68 IAK65:IAL68 IAO65:IAP68 IAS65:IAT68 IAW65:IAX68 IBA65:IBB68 IBE65:IBF68 IBI65:IBJ68 IBM65:IBN68 IBQ65:IBR68 IBU65:IBV68 IBY65:IBZ68 ICC65:ICD68 ICG65:ICH68 ICK65:ICL68 ICO65:ICP68 ICS65:ICT68 ICW65:ICX68 IDA65:IDB68 IDE65:IDF68 IDI65:IDJ68 IDM65:IDN68 IDQ65:IDR68 IDU65:IDV68 IDY65:IDZ68 IEC65:IED68 IEG65:IEH68 IEK65:IEL68 IEO65:IEP68 IES65:IET68 IEW65:IEX68 IFA65:IFB68 IFE65:IFF68 IFI65:IFJ68 IFM65:IFN68 IFQ65:IFR68 IFU65:IFV68 IFY65:IFZ68 IGC65:IGD68 IGG65:IGH68 IGK65:IGL68 IGO65:IGP68 IGS65:IGT68 IGW65:IGX68 IHA65:IHB68 IHE65:IHF68 IHI65:IHJ68 IHM65:IHN68 IHQ65:IHR68 IHU65:IHV68 IHY65:IHZ68 IIC65:IID68 IIG65:IIH68 IIK65:IIL68 IIO65:IIP68 IIS65:IIT68 IIW65:IIX68 IJA65:IJB68 IJE65:IJF68 IJI65:IJJ68 IJM65:IJN68 IJQ65:IJR68 IJU65:IJV68 IJY65:IJZ68 IKC65:IKD68 IKG65:IKH68 IKK65:IKL68 IKO65:IKP68 IKS65:IKT68 IKW65:IKX68 ILA65:ILB68 ILE65:ILF68 ILI65:ILJ68 ILM65:ILN68 ILQ65:ILR68 ILU65:ILV68 ILY65:ILZ68 IMC65:IMD68 IMG65:IMH68 IMK65:IML68 IMO65:IMP68 IMS65:IMT68 IMW65:IMX68 INA65:INB68 INE65:INF68 INI65:INJ68 INM65:INN68 INQ65:INR68 INU65:INV68 INY65:INZ68 IOC65:IOD68 IOG65:IOH68 IOK65:IOL68 IOO65:IOP68 IOS65:IOT68 IOW65:IOX68 IPA65:IPB68 IPE65:IPF68 IPI65:IPJ68 IPM65:IPN68 IPQ65:IPR68 IPU65:IPV68 IPY65:IPZ68 IQC65:IQD68 IQG65:IQH68 IQK65:IQL68 IQO65:IQP68 IQS65:IQT68 IQW65:IQX68 IRA65:IRB68 IRE65:IRF68 IRI65:IRJ68 IRM65:IRN68 IRQ65:IRR68 IRU65:IRV68 IRY65:IRZ68 ISC65:ISD68 ISG65:ISH68 ISK65:ISL68 ISO65:ISP68 ISS65:IST68 ISW65:ISX68 ITA65:ITB68 ITE65:ITF68 ITI65:ITJ68 ITM65:ITN68 ITQ65:ITR68 ITU65:ITV68 ITY65:ITZ68 IUC65:IUD68 IUG65:IUH68 IUK65:IUL68 IUO65:IUP68 IUS65:IUT68 IUW65:IUX68 IVA65:IVB68 IVE65:IVF68 IVI65:IVJ68 IVM65:IVN68 IVQ65:IVR68 IVU65:IVV68 IVY65:IVZ68 IWC65:IWD68 IWG65:IWH68 IWK65:IWL68 IWO65:IWP68 IWS65:IWT68 IWW65:IWX68 IXA65:IXB68 IXE65:IXF68 IXI65:IXJ68 IXM65:IXN68 IXQ65:IXR68 IXU65:IXV68 IXY65:IXZ68 IYC65:IYD68 IYG65:IYH68 IYK65:IYL68 IYO65:IYP68 IYS65:IYT68 IYW65:IYX68 IZA65:IZB68 IZE65:IZF68 IZI65:IZJ68 IZM65:IZN68 IZQ65:IZR68 IZU65:IZV68 IZY65:IZZ68 JAC65:JAD68 JAG65:JAH68 JAK65:JAL68 JAO65:JAP68 JAS65:JAT68 JAW65:JAX68 JBA65:JBB68 JBE65:JBF68 JBI65:JBJ68 JBM65:JBN68 JBQ65:JBR68 JBU65:JBV68 JBY65:JBZ68 JCC65:JCD68 JCG65:JCH68 JCK65:JCL68 JCO65:JCP68 JCS65:JCT68 JCW65:JCX68 JDA65:JDB68 JDE65:JDF68 JDI65:JDJ68 JDM65:JDN68 JDQ65:JDR68 JDU65:JDV68 JDY65:JDZ68 JEC65:JED68 JEG65:JEH68 JEK65:JEL68 JEO65:JEP68 JES65:JET68 JEW65:JEX68 JFA65:JFB68 JFE65:JFF68 JFI65:JFJ68 JFM65:JFN68 JFQ65:JFR68 JFU65:JFV68 JFY65:JFZ68 JGC65:JGD68 JGG65:JGH68 JGK65:JGL68 JGO65:JGP68 JGS65:JGT68 JGW65:JGX68 JHA65:JHB68 JHE65:JHF68 JHI65:JHJ68 JHM65:JHN68 JHQ65:JHR68 JHU65:JHV68 JHY65:JHZ68 JIC65:JID68 JIG65:JIH68 JIK65:JIL68 JIO65:JIP68 JIS65:JIT68 JIW65:JIX68 JJA65:JJB68 JJE65:JJF68 JJI65:JJJ68 JJM65:JJN68 JJQ65:JJR68 JJU65:JJV68 JJY65:JJZ68 JKC65:JKD68 JKG65:JKH68 JKK65:JKL68 JKO65:JKP68 JKS65:JKT68 JKW65:JKX68 JLA65:JLB68 JLE65:JLF68 JLI65:JLJ68 JLM65:JLN68 JLQ65:JLR68 JLU65:JLV68 JLY65:JLZ68 JMC65:JMD68 JMG65:JMH68 JMK65:JML68 JMO65:JMP68 JMS65:JMT68 JMW65:JMX68 JNA65:JNB68 JNE65:JNF68 JNI65:JNJ68 JNM65:JNN68 JNQ65:JNR68 JNU65:JNV68 JNY65:JNZ68 JOC65:JOD68 JOG65:JOH68 JOK65:JOL68 JOO65:JOP68 JOS65:JOT68 JOW65:JOX68 JPA65:JPB68 JPE65:JPF68 JPI65:JPJ68 JPM65:JPN68 JPQ65:JPR68 JPU65:JPV68 JPY65:JPZ68 JQC65:JQD68 JQG65:JQH68 JQK65:JQL68 JQO65:JQP68 JQS65:JQT68 JQW65:JQX68 JRA65:JRB68 JRE65:JRF68 JRI65:JRJ68 JRM65:JRN68 JRQ65:JRR68 JRU65:JRV68 JRY65:JRZ68 JSC65:JSD68 JSG65:JSH68 JSK65:JSL68 JSO65:JSP68 JSS65:JST68 JSW65:JSX68 JTA65:JTB68 JTE65:JTF68 JTI65:JTJ68 JTM65:JTN68 JTQ65:JTR68 JTU65:JTV68 JTY65:JTZ68 JUC65:JUD68 JUG65:JUH68 JUK65:JUL68 JUO65:JUP68 JUS65:JUT68 JUW65:JUX68 JVA65:JVB68 JVE65:JVF68 JVI65:JVJ68 JVM65:JVN68 JVQ65:JVR68 JVU65:JVV68 JVY65:JVZ68 JWC65:JWD68 JWG65:JWH68 JWK65:JWL68 JWO65:JWP68 JWS65:JWT68 JWW65:JWX68 JXA65:JXB68 JXE65:JXF68 JXI65:JXJ68 JXM65:JXN68 JXQ65:JXR68 JXU65:JXV68 JXY65:JXZ68 JYC65:JYD68 JYG65:JYH68 JYK65:JYL68 JYO65:JYP68 JYS65:JYT68 JYW65:JYX68 JZA65:JZB68 JZE65:JZF68 JZI65:JZJ68 JZM65:JZN68 JZQ65:JZR68 JZU65:JZV68 JZY65:JZZ68 KAC65:KAD68 KAG65:KAH68 KAK65:KAL68 KAO65:KAP68 KAS65:KAT68 KAW65:KAX68 KBA65:KBB68 KBE65:KBF68 KBI65:KBJ68 KBM65:KBN68 KBQ65:KBR68 KBU65:KBV68 KBY65:KBZ68 KCC65:KCD68 KCG65:KCH68 KCK65:KCL68 KCO65:KCP68 KCS65:KCT68 KCW65:KCX68 KDA65:KDB68 KDE65:KDF68 KDI65:KDJ68 KDM65:KDN68 KDQ65:KDR68 KDU65:KDV68 KDY65:KDZ68 KEC65:KED68 KEG65:KEH68 KEK65:KEL68 KEO65:KEP68 KES65:KET68 KEW65:KEX68 KFA65:KFB68 KFE65:KFF68 KFI65:KFJ68 KFM65:KFN68 KFQ65:KFR68 KFU65:KFV68 KFY65:KFZ68 KGC65:KGD68 KGG65:KGH68 KGK65:KGL68 KGO65:KGP68 KGS65:KGT68 KGW65:KGX68 KHA65:KHB68 KHE65:KHF68 KHI65:KHJ68 KHM65:KHN68 KHQ65:KHR68 KHU65:KHV68 KHY65:KHZ68 KIC65:KID68 KIG65:KIH68 KIK65:KIL68 KIO65:KIP68 KIS65:KIT68 KIW65:KIX68 KJA65:KJB68 KJE65:KJF68 KJI65:KJJ68 KJM65:KJN68 KJQ65:KJR68 KJU65:KJV68 KJY65:KJZ68 KKC65:KKD68 KKG65:KKH68 KKK65:KKL68 KKO65:KKP68 KKS65:KKT68 KKW65:KKX68 KLA65:KLB68 KLE65:KLF68 KLI65:KLJ68 KLM65:KLN68 KLQ65:KLR68 KLU65:KLV68 KLY65:KLZ68 KMC65:KMD68 KMG65:KMH68 KMK65:KML68 KMO65:KMP68 KMS65:KMT68 KMW65:KMX68 KNA65:KNB68 KNE65:KNF68 KNI65:KNJ68 KNM65:KNN68 KNQ65:KNR68 KNU65:KNV68 KNY65:KNZ68 KOC65:KOD68 KOG65:KOH68 KOK65:KOL68 KOO65:KOP68 KOS65:KOT68 KOW65:KOX68 KPA65:KPB68 KPE65:KPF68 KPI65:KPJ68 KPM65:KPN68 KPQ65:KPR68 KPU65:KPV68 KPY65:KPZ68 KQC65:KQD68 KQG65:KQH68 KQK65:KQL68 KQO65:KQP68 KQS65:KQT68 KQW65:KQX68 KRA65:KRB68 KRE65:KRF68 KRI65:KRJ68 KRM65:KRN68 KRQ65:KRR68 KRU65:KRV68 KRY65:KRZ68 KSC65:KSD68 KSG65:KSH68 KSK65:KSL68 KSO65:KSP68 KSS65:KST68 KSW65:KSX68 KTA65:KTB68 KTE65:KTF68 KTI65:KTJ68 KTM65:KTN68 KTQ65:KTR68 KTU65:KTV68 KTY65:KTZ68 KUC65:KUD68 KUG65:KUH68 KUK65:KUL68 KUO65:KUP68 KUS65:KUT68 KUW65:KUX68 KVA65:KVB68 KVE65:KVF68 KVI65:KVJ68 KVM65:KVN68 KVQ65:KVR68 KVU65:KVV68 KVY65:KVZ68 KWC65:KWD68 KWG65:KWH68 KWK65:KWL68 KWO65:KWP68 KWS65:KWT68 KWW65:KWX68 KXA65:KXB68 KXE65:KXF68 KXI65:KXJ68 KXM65:KXN68 KXQ65:KXR68 KXU65:KXV68 KXY65:KXZ68 KYC65:KYD68 KYG65:KYH68 KYK65:KYL68 KYO65:KYP68 KYS65:KYT68 KYW65:KYX68 KZA65:KZB68 KZE65:KZF68 KZI65:KZJ68 KZM65:KZN68 KZQ65:KZR68 KZU65:KZV68 KZY65:KZZ68 LAC65:LAD68 LAG65:LAH68 LAK65:LAL68 LAO65:LAP68 LAS65:LAT68 LAW65:LAX68 LBA65:LBB68 LBE65:LBF68 LBI65:LBJ68 LBM65:LBN68 LBQ65:LBR68 LBU65:LBV68 LBY65:LBZ68 LCC65:LCD68 LCG65:LCH68 LCK65:LCL68 LCO65:LCP68 LCS65:LCT68 LCW65:LCX68 LDA65:LDB68 LDE65:LDF68 LDI65:LDJ68 LDM65:LDN68 LDQ65:LDR68 LDU65:LDV68 LDY65:LDZ68 LEC65:LED68 LEG65:LEH68 LEK65:LEL68 LEO65:LEP68 LES65:LET68 LEW65:LEX68 LFA65:LFB68 LFE65:LFF68 LFI65:LFJ68 LFM65:LFN68 LFQ65:LFR68 LFU65:LFV68 LFY65:LFZ68 LGC65:LGD68 LGG65:LGH68 LGK65:LGL68 LGO65:LGP68 LGS65:LGT68 LGW65:LGX68 LHA65:LHB68 LHE65:LHF68 LHI65:LHJ68 LHM65:LHN68 LHQ65:LHR68 LHU65:LHV68 LHY65:LHZ68 LIC65:LID68 LIG65:LIH68 LIK65:LIL68 LIO65:LIP68 LIS65:LIT68 LIW65:LIX68 LJA65:LJB68 LJE65:LJF68 LJI65:LJJ68 LJM65:LJN68 LJQ65:LJR68 LJU65:LJV68 LJY65:LJZ68 LKC65:LKD68 LKG65:LKH68 LKK65:LKL68 LKO65:LKP68 LKS65:LKT68 LKW65:LKX68 LLA65:LLB68 LLE65:LLF68 LLI65:LLJ68 LLM65:LLN68 LLQ65:LLR68 LLU65:LLV68 LLY65:LLZ68 LMC65:LMD68 LMG65:LMH68 LMK65:LML68 LMO65:LMP68 LMS65:LMT68 LMW65:LMX68 LNA65:LNB68 LNE65:LNF68 LNI65:LNJ68 LNM65:LNN68 LNQ65:LNR68 LNU65:LNV68 LNY65:LNZ68 LOC65:LOD68 LOG65:LOH68 LOK65:LOL68 LOO65:LOP68 LOS65:LOT68 LOW65:LOX68 LPA65:LPB68 LPE65:LPF68 LPI65:LPJ68 LPM65:LPN68 LPQ65:LPR68 LPU65:LPV68 LPY65:LPZ68 LQC65:LQD68 LQG65:LQH68 LQK65:LQL68 LQO65:LQP68 LQS65:LQT68 LQW65:LQX68 LRA65:LRB68 LRE65:LRF68 LRI65:LRJ68 LRM65:LRN68 LRQ65:LRR68 LRU65:LRV68 LRY65:LRZ68 LSC65:LSD68 LSG65:LSH68 LSK65:LSL68 LSO65:LSP68 LSS65:LST68 LSW65:LSX68 LTA65:LTB68 LTE65:LTF68 LTI65:LTJ68 LTM65:LTN68 LTQ65:LTR68 LTU65:LTV68 LTY65:LTZ68 LUC65:LUD68 LUG65:LUH68 LUK65:LUL68 LUO65:LUP68 LUS65:LUT68 LUW65:LUX68 LVA65:LVB68 LVE65:LVF68 LVI65:LVJ68 LVM65:LVN68 LVQ65:LVR68 LVU65:LVV68 LVY65:LVZ68 LWC65:LWD68 LWG65:LWH68 LWK65:LWL68 LWO65:LWP68 LWS65:LWT68 LWW65:LWX68 LXA65:LXB68 LXE65:LXF68 LXI65:LXJ68 LXM65:LXN68 LXQ65:LXR68 LXU65:LXV68 LXY65:LXZ68 LYC65:LYD68 LYG65:LYH68 LYK65:LYL68 LYO65:LYP68 LYS65:LYT68 LYW65:LYX68 LZA65:LZB68 LZE65:LZF68 LZI65:LZJ68 LZM65:LZN68 LZQ65:LZR68 LZU65:LZV68 LZY65:LZZ68 MAC65:MAD68 MAG65:MAH68 MAK65:MAL68 MAO65:MAP68 MAS65:MAT68 MAW65:MAX68 MBA65:MBB68 MBE65:MBF68 MBI65:MBJ68 MBM65:MBN68 MBQ65:MBR68 MBU65:MBV68 MBY65:MBZ68 MCC65:MCD68 MCG65:MCH68 MCK65:MCL68 MCO65:MCP68 MCS65:MCT68 MCW65:MCX68 MDA65:MDB68 MDE65:MDF68 MDI65:MDJ68 MDM65:MDN68 MDQ65:MDR68 MDU65:MDV68 MDY65:MDZ68 MEC65:MED68 MEG65:MEH68 MEK65:MEL68 MEO65:MEP68 MES65:MET68 MEW65:MEX68 MFA65:MFB68 MFE65:MFF68 MFI65:MFJ68 MFM65:MFN68 MFQ65:MFR68 MFU65:MFV68 MFY65:MFZ68 MGC65:MGD68 MGG65:MGH68 MGK65:MGL68 MGO65:MGP68 MGS65:MGT68 MGW65:MGX68 MHA65:MHB68 MHE65:MHF68 MHI65:MHJ68 MHM65:MHN68 MHQ65:MHR68 MHU65:MHV68 MHY65:MHZ68 MIC65:MID68 MIG65:MIH68 MIK65:MIL68 MIO65:MIP68 MIS65:MIT68 MIW65:MIX68 MJA65:MJB68 MJE65:MJF68 MJI65:MJJ68 MJM65:MJN68 MJQ65:MJR68 MJU65:MJV68 MJY65:MJZ68 MKC65:MKD68 MKG65:MKH68 MKK65:MKL68 MKO65:MKP68 MKS65:MKT68 MKW65:MKX68 MLA65:MLB68 MLE65:MLF68 MLI65:MLJ68 MLM65:MLN68 MLQ65:MLR68 MLU65:MLV68 MLY65:MLZ68 MMC65:MMD68 MMG65:MMH68 MMK65:MML68 MMO65:MMP68 MMS65:MMT68 MMW65:MMX68 MNA65:MNB68 MNE65:MNF68 MNI65:MNJ68 MNM65:MNN68 MNQ65:MNR68 MNU65:MNV68 MNY65:MNZ68 MOC65:MOD68 MOG65:MOH68 MOK65:MOL68 MOO65:MOP68 MOS65:MOT68 MOW65:MOX68 MPA65:MPB68 MPE65:MPF68 MPI65:MPJ68 MPM65:MPN68 MPQ65:MPR68 MPU65:MPV68 MPY65:MPZ68 MQC65:MQD68 MQG65:MQH68 MQK65:MQL68 MQO65:MQP68 MQS65:MQT68 MQW65:MQX68 MRA65:MRB68 MRE65:MRF68 MRI65:MRJ68 MRM65:MRN68 MRQ65:MRR68 MRU65:MRV68 MRY65:MRZ68 MSC65:MSD68 MSG65:MSH68 MSK65:MSL68 MSO65:MSP68 MSS65:MST68 MSW65:MSX68 MTA65:MTB68 MTE65:MTF68 MTI65:MTJ68 MTM65:MTN68 MTQ65:MTR68 MTU65:MTV68 MTY65:MTZ68 MUC65:MUD68 MUG65:MUH68 MUK65:MUL68 MUO65:MUP68 MUS65:MUT68 MUW65:MUX68 MVA65:MVB68 MVE65:MVF68 MVI65:MVJ68 MVM65:MVN68 MVQ65:MVR68 MVU65:MVV68 MVY65:MVZ68 MWC65:MWD68 MWG65:MWH68 MWK65:MWL68 MWO65:MWP68 MWS65:MWT68 MWW65:MWX68 MXA65:MXB68 MXE65:MXF68 MXI65:MXJ68 MXM65:MXN68 MXQ65:MXR68 MXU65:MXV68 MXY65:MXZ68 MYC65:MYD68 MYG65:MYH68 MYK65:MYL68 MYO65:MYP68 MYS65:MYT68 MYW65:MYX68 MZA65:MZB68 MZE65:MZF68 MZI65:MZJ68 MZM65:MZN68 MZQ65:MZR68 MZU65:MZV68 MZY65:MZZ68 NAC65:NAD68 NAG65:NAH68 NAK65:NAL68 NAO65:NAP68 NAS65:NAT68 NAW65:NAX68 NBA65:NBB68 NBE65:NBF68 NBI65:NBJ68 NBM65:NBN68 NBQ65:NBR68 NBU65:NBV68 NBY65:NBZ68 NCC65:NCD68 NCG65:NCH68 NCK65:NCL68 NCO65:NCP68 NCS65:NCT68 NCW65:NCX68 NDA65:NDB68 NDE65:NDF68 NDI65:NDJ68 NDM65:NDN68 NDQ65:NDR68 NDU65:NDV68 NDY65:NDZ68 NEC65:NED68 NEG65:NEH68 NEK65:NEL68 NEO65:NEP68 NES65:NET68 NEW65:NEX68 NFA65:NFB68 NFE65:NFF68 NFI65:NFJ68 NFM65:NFN68 NFQ65:NFR68 NFU65:NFV68 NFY65:NFZ68 NGC65:NGD68 NGG65:NGH68 NGK65:NGL68 NGO65:NGP68 NGS65:NGT68 NGW65:NGX68 NHA65:NHB68 NHE65:NHF68 NHI65:NHJ68 NHM65:NHN68 NHQ65:NHR68 NHU65:NHV68 NHY65:NHZ68 NIC65:NID68 NIG65:NIH68 NIK65:NIL68 NIO65:NIP68 NIS65:NIT68 NIW65:NIX68 NJA65:NJB68 NJE65:NJF68 NJI65:NJJ68 NJM65:NJN68 NJQ65:NJR68 NJU65:NJV68 NJY65:NJZ68 NKC65:NKD68 NKG65:NKH68 NKK65:NKL68 NKO65:NKP68 NKS65:NKT68 NKW65:NKX68 NLA65:NLB68 NLE65:NLF68 NLI65:NLJ68 NLM65:NLN68 NLQ65:NLR68 NLU65:NLV68 NLY65:NLZ68 NMC65:NMD68 NMG65:NMH68 NMK65:NML68 NMO65:NMP68 NMS65:NMT68 NMW65:NMX68 NNA65:NNB68 NNE65:NNF68 NNI65:NNJ68 NNM65:NNN68 NNQ65:NNR68 NNU65:NNV68 NNY65:NNZ68 NOC65:NOD68 NOG65:NOH68 NOK65:NOL68 NOO65:NOP68 NOS65:NOT68 NOW65:NOX68 NPA65:NPB68 NPE65:NPF68 NPI65:NPJ68 NPM65:NPN68 NPQ65:NPR68 NPU65:NPV68 NPY65:NPZ68 NQC65:NQD68 NQG65:NQH68 NQK65:NQL68 NQO65:NQP68 NQS65:NQT68 NQW65:NQX68 NRA65:NRB68 NRE65:NRF68 NRI65:NRJ68 NRM65:NRN68 NRQ65:NRR68 NRU65:NRV68 NRY65:NRZ68 NSC65:NSD68 NSG65:NSH68 NSK65:NSL68 NSO65:NSP68 NSS65:NST68 NSW65:NSX68 NTA65:NTB68 NTE65:NTF68 NTI65:NTJ68 NTM65:NTN68 NTQ65:NTR68 NTU65:NTV68 NTY65:NTZ68 NUC65:NUD68 NUG65:NUH68 NUK65:NUL68 NUO65:NUP68 NUS65:NUT68 NUW65:NUX68 NVA65:NVB68 NVE65:NVF68 NVI65:NVJ68 NVM65:NVN68 NVQ65:NVR68 NVU65:NVV68 NVY65:NVZ68 NWC65:NWD68 NWG65:NWH68 NWK65:NWL68 NWO65:NWP68 NWS65:NWT68 NWW65:NWX68 NXA65:NXB68 NXE65:NXF68 NXI65:NXJ68 NXM65:NXN68 NXQ65:NXR68 NXU65:NXV68 NXY65:NXZ68 NYC65:NYD68 NYG65:NYH68 NYK65:NYL68 NYO65:NYP68 NYS65:NYT68 NYW65:NYX68 NZA65:NZB68 NZE65:NZF68 NZI65:NZJ68 NZM65:NZN68 NZQ65:NZR68 NZU65:NZV68 NZY65:NZZ68 OAC65:OAD68 OAG65:OAH68 OAK65:OAL68 OAO65:OAP68 OAS65:OAT68 OAW65:OAX68 OBA65:OBB68 OBE65:OBF68 OBI65:OBJ68 OBM65:OBN68 OBQ65:OBR68 OBU65:OBV68 OBY65:OBZ68 OCC65:OCD68 OCG65:OCH68 OCK65:OCL68 OCO65:OCP68 OCS65:OCT68 OCW65:OCX68 ODA65:ODB68 ODE65:ODF68 ODI65:ODJ68 ODM65:ODN68 ODQ65:ODR68 ODU65:ODV68 ODY65:ODZ68 OEC65:OED68 OEG65:OEH68 OEK65:OEL68 OEO65:OEP68 OES65:OET68 OEW65:OEX68 OFA65:OFB68 OFE65:OFF68 OFI65:OFJ68 OFM65:OFN68 OFQ65:OFR68 OFU65:OFV68 OFY65:OFZ68 OGC65:OGD68 OGG65:OGH68 OGK65:OGL68 OGO65:OGP68 OGS65:OGT68 OGW65:OGX68 OHA65:OHB68 OHE65:OHF68 OHI65:OHJ68 OHM65:OHN68 OHQ65:OHR68 OHU65:OHV68 OHY65:OHZ68 OIC65:OID68 OIG65:OIH68 OIK65:OIL68 OIO65:OIP68 OIS65:OIT68 OIW65:OIX68 OJA65:OJB68 OJE65:OJF68 OJI65:OJJ68 OJM65:OJN68 OJQ65:OJR68 OJU65:OJV68 OJY65:OJZ68 OKC65:OKD68 OKG65:OKH68 OKK65:OKL68 OKO65:OKP68 OKS65:OKT68 OKW65:OKX68 OLA65:OLB68 OLE65:OLF68 OLI65:OLJ68 OLM65:OLN68 OLQ65:OLR68 OLU65:OLV68 OLY65:OLZ68 OMC65:OMD68 OMG65:OMH68 OMK65:OML68 OMO65:OMP68 OMS65:OMT68 OMW65:OMX68 ONA65:ONB68 ONE65:ONF68 ONI65:ONJ68 ONM65:ONN68 ONQ65:ONR68 ONU65:ONV68 ONY65:ONZ68 OOC65:OOD68 OOG65:OOH68 OOK65:OOL68 OOO65:OOP68 OOS65:OOT68 OOW65:OOX68 OPA65:OPB68 OPE65:OPF68 OPI65:OPJ68 OPM65:OPN68 OPQ65:OPR68 OPU65:OPV68 OPY65:OPZ68 OQC65:OQD68 OQG65:OQH68 OQK65:OQL68 OQO65:OQP68 OQS65:OQT68 OQW65:OQX68 ORA65:ORB68 ORE65:ORF68 ORI65:ORJ68 ORM65:ORN68 ORQ65:ORR68 ORU65:ORV68 ORY65:ORZ68 OSC65:OSD68 OSG65:OSH68 OSK65:OSL68 OSO65:OSP68 OSS65:OST68 OSW65:OSX68 OTA65:OTB68 OTE65:OTF68 OTI65:OTJ68 OTM65:OTN68 OTQ65:OTR68 OTU65:OTV68 OTY65:OTZ68 OUC65:OUD68 OUG65:OUH68 OUK65:OUL68 OUO65:OUP68 OUS65:OUT68 OUW65:OUX68 OVA65:OVB68 OVE65:OVF68 OVI65:OVJ68 OVM65:OVN68 OVQ65:OVR68 OVU65:OVV68 OVY65:OVZ68 OWC65:OWD68 OWG65:OWH68 OWK65:OWL68 OWO65:OWP68 OWS65:OWT68 OWW65:OWX68 OXA65:OXB68 OXE65:OXF68 OXI65:OXJ68 OXM65:OXN68 OXQ65:OXR68 OXU65:OXV68 OXY65:OXZ68 OYC65:OYD68 OYG65:OYH68 OYK65:OYL68 OYO65:OYP68 OYS65:OYT68 OYW65:OYX68 OZA65:OZB68 OZE65:OZF68 OZI65:OZJ68 OZM65:OZN68 OZQ65:OZR68 OZU65:OZV68 OZY65:OZZ68 PAC65:PAD68 PAG65:PAH68 PAK65:PAL68 PAO65:PAP68 PAS65:PAT68 PAW65:PAX68 PBA65:PBB68 PBE65:PBF68 PBI65:PBJ68 PBM65:PBN68 PBQ65:PBR68 PBU65:PBV68 PBY65:PBZ68 PCC65:PCD68 PCG65:PCH68 PCK65:PCL68 PCO65:PCP68 PCS65:PCT68 PCW65:PCX68 PDA65:PDB68 PDE65:PDF68 PDI65:PDJ68 PDM65:PDN68 PDQ65:PDR68 PDU65:PDV68 PDY65:PDZ68 PEC65:PED68 PEG65:PEH68 PEK65:PEL68 PEO65:PEP68 PES65:PET68 PEW65:PEX68 PFA65:PFB68 PFE65:PFF68 PFI65:PFJ68 PFM65:PFN68 PFQ65:PFR68 PFU65:PFV68 PFY65:PFZ68 PGC65:PGD68 PGG65:PGH68 PGK65:PGL68 PGO65:PGP68 PGS65:PGT68 PGW65:PGX68 PHA65:PHB68 PHE65:PHF68 PHI65:PHJ68 PHM65:PHN68 PHQ65:PHR68 PHU65:PHV68 PHY65:PHZ68 PIC65:PID68 PIG65:PIH68 PIK65:PIL68 PIO65:PIP68 PIS65:PIT68 PIW65:PIX68 PJA65:PJB68 PJE65:PJF68 PJI65:PJJ68 PJM65:PJN68 PJQ65:PJR68 PJU65:PJV68 PJY65:PJZ68 PKC65:PKD68 PKG65:PKH68 PKK65:PKL68 PKO65:PKP68 PKS65:PKT68 PKW65:PKX68 PLA65:PLB68 PLE65:PLF68 PLI65:PLJ68 PLM65:PLN68 PLQ65:PLR68 PLU65:PLV68 PLY65:PLZ68 PMC65:PMD68 PMG65:PMH68 PMK65:PML68 PMO65:PMP68 PMS65:PMT68 PMW65:PMX68 PNA65:PNB68 PNE65:PNF68 PNI65:PNJ68 PNM65:PNN68 PNQ65:PNR68 PNU65:PNV68 PNY65:PNZ68 POC65:POD68 POG65:POH68 POK65:POL68 POO65:POP68 POS65:POT68 POW65:POX68 PPA65:PPB68 PPE65:PPF68 PPI65:PPJ68 PPM65:PPN68 PPQ65:PPR68 PPU65:PPV68 PPY65:PPZ68 PQC65:PQD68 PQG65:PQH68 PQK65:PQL68 PQO65:PQP68 PQS65:PQT68 PQW65:PQX68 PRA65:PRB68 PRE65:PRF68 PRI65:PRJ68 PRM65:PRN68 PRQ65:PRR68 PRU65:PRV68 PRY65:PRZ68 PSC65:PSD68 PSG65:PSH68 PSK65:PSL68 PSO65:PSP68 PSS65:PST68 PSW65:PSX68 PTA65:PTB68 PTE65:PTF68 PTI65:PTJ68 PTM65:PTN68 PTQ65:PTR68 PTU65:PTV68 PTY65:PTZ68 PUC65:PUD68 PUG65:PUH68 PUK65:PUL68 PUO65:PUP68 PUS65:PUT68 PUW65:PUX68 PVA65:PVB68 PVE65:PVF68 PVI65:PVJ68 PVM65:PVN68 PVQ65:PVR68 PVU65:PVV68 PVY65:PVZ68 PWC65:PWD68 PWG65:PWH68 PWK65:PWL68 PWO65:PWP68 PWS65:PWT68 PWW65:PWX68 PXA65:PXB68 PXE65:PXF68 PXI65:PXJ68 PXM65:PXN68 PXQ65:PXR68 PXU65:PXV68 PXY65:PXZ68 PYC65:PYD68 PYG65:PYH68 PYK65:PYL68 PYO65:PYP68 PYS65:PYT68 PYW65:PYX68 PZA65:PZB68 PZE65:PZF68 PZI65:PZJ68 PZM65:PZN68 PZQ65:PZR68 PZU65:PZV68 PZY65:PZZ68 QAC65:QAD68 QAG65:QAH68 QAK65:QAL68 QAO65:QAP68 QAS65:QAT68 QAW65:QAX68 QBA65:QBB68 QBE65:QBF68 QBI65:QBJ68 QBM65:QBN68 QBQ65:QBR68 QBU65:QBV68 QBY65:QBZ68 QCC65:QCD68 QCG65:QCH68 QCK65:QCL68 QCO65:QCP68 QCS65:QCT68 QCW65:QCX68 QDA65:QDB68 QDE65:QDF68 QDI65:QDJ68 QDM65:QDN68 QDQ65:QDR68 QDU65:QDV68 QDY65:QDZ68 QEC65:QED68 QEG65:QEH68 QEK65:QEL68 QEO65:QEP68 QES65:QET68 QEW65:QEX68 QFA65:QFB68 QFE65:QFF68 QFI65:QFJ68 QFM65:QFN68 QFQ65:QFR68 QFU65:QFV68 QFY65:QFZ68 QGC65:QGD68 QGG65:QGH68 QGK65:QGL68 QGO65:QGP68 QGS65:QGT68 QGW65:QGX68 QHA65:QHB68 QHE65:QHF68 QHI65:QHJ68 QHM65:QHN68 QHQ65:QHR68 QHU65:QHV68 QHY65:QHZ68 QIC65:QID68 QIG65:QIH68 QIK65:QIL68 QIO65:QIP68 QIS65:QIT68 QIW65:QIX68 QJA65:QJB68 QJE65:QJF68 QJI65:QJJ68 QJM65:QJN68 QJQ65:QJR68 QJU65:QJV68 QJY65:QJZ68 QKC65:QKD68 QKG65:QKH68 QKK65:QKL68 QKO65:QKP68 QKS65:QKT68 QKW65:QKX68 QLA65:QLB68 QLE65:QLF68 QLI65:QLJ68 QLM65:QLN68 QLQ65:QLR68 QLU65:QLV68 QLY65:QLZ68 QMC65:QMD68 QMG65:QMH68 QMK65:QML68 QMO65:QMP68 QMS65:QMT68 QMW65:QMX68 QNA65:QNB68 QNE65:QNF68 QNI65:QNJ68 QNM65:QNN68 QNQ65:QNR68 QNU65:QNV68 QNY65:QNZ68 QOC65:QOD68 QOG65:QOH68 QOK65:QOL68 QOO65:QOP68 QOS65:QOT68 QOW65:QOX68 QPA65:QPB68 QPE65:QPF68 QPI65:QPJ68 QPM65:QPN68 QPQ65:QPR68 QPU65:QPV68 QPY65:QPZ68 QQC65:QQD68 QQG65:QQH68 QQK65:QQL68 QQO65:QQP68 QQS65:QQT68 QQW65:QQX68 QRA65:QRB68 QRE65:QRF68 QRI65:QRJ68 QRM65:QRN68 QRQ65:QRR68 QRU65:QRV68 QRY65:QRZ68 QSC65:QSD68 QSG65:QSH68 QSK65:QSL68 QSO65:QSP68 QSS65:QST68 QSW65:QSX68 QTA65:QTB68 QTE65:QTF68 QTI65:QTJ68 QTM65:QTN68 QTQ65:QTR68 QTU65:QTV68 QTY65:QTZ68 QUC65:QUD68 QUG65:QUH68 QUK65:QUL68 QUO65:QUP68 QUS65:QUT68 QUW65:QUX68 QVA65:QVB68 QVE65:QVF68 QVI65:QVJ68 QVM65:QVN68 QVQ65:QVR68 QVU65:QVV68 QVY65:QVZ68 QWC65:QWD68 QWG65:QWH68 QWK65:QWL68 QWO65:QWP68 QWS65:QWT68 QWW65:QWX68 QXA65:QXB68 QXE65:QXF68 QXI65:QXJ68 QXM65:QXN68 QXQ65:QXR68 QXU65:QXV68 QXY65:QXZ68 QYC65:QYD68 QYG65:QYH68 QYK65:QYL68 QYO65:QYP68 QYS65:QYT68 QYW65:QYX68 QZA65:QZB68 QZE65:QZF68 QZI65:QZJ68 QZM65:QZN68 QZQ65:QZR68 QZU65:QZV68 QZY65:QZZ68 RAC65:RAD68 RAG65:RAH68 RAK65:RAL68 RAO65:RAP68 RAS65:RAT68 RAW65:RAX68 RBA65:RBB68 RBE65:RBF68 RBI65:RBJ68 RBM65:RBN68 RBQ65:RBR68 RBU65:RBV68 RBY65:RBZ68 RCC65:RCD68 RCG65:RCH68 RCK65:RCL68 RCO65:RCP68 RCS65:RCT68 RCW65:RCX68 RDA65:RDB68 RDE65:RDF68 RDI65:RDJ68 RDM65:RDN68 RDQ65:RDR68 RDU65:RDV68 RDY65:RDZ68 REC65:RED68 REG65:REH68 REK65:REL68 REO65:REP68 RES65:RET68 REW65:REX68 RFA65:RFB68 RFE65:RFF68 RFI65:RFJ68 RFM65:RFN68 RFQ65:RFR68 RFU65:RFV68 RFY65:RFZ68 RGC65:RGD68 RGG65:RGH68 RGK65:RGL68 RGO65:RGP68 RGS65:RGT68 RGW65:RGX68 RHA65:RHB68 RHE65:RHF68 RHI65:RHJ68 RHM65:RHN68 RHQ65:RHR68 RHU65:RHV68 RHY65:RHZ68 RIC65:RID68 RIG65:RIH68 RIK65:RIL68 RIO65:RIP68 RIS65:RIT68 RIW65:RIX68 RJA65:RJB68 RJE65:RJF68 RJI65:RJJ68 RJM65:RJN68 RJQ65:RJR68 RJU65:RJV68 RJY65:RJZ68 RKC65:RKD68 RKG65:RKH68 RKK65:RKL68 RKO65:RKP68 RKS65:RKT68 RKW65:RKX68 RLA65:RLB68 RLE65:RLF68 RLI65:RLJ68 RLM65:RLN68 RLQ65:RLR68 RLU65:RLV68 RLY65:RLZ68 RMC65:RMD68 RMG65:RMH68 RMK65:RML68 RMO65:RMP68 RMS65:RMT68 RMW65:RMX68 RNA65:RNB68 RNE65:RNF68 RNI65:RNJ68 RNM65:RNN68 RNQ65:RNR68 RNU65:RNV68 RNY65:RNZ68 ROC65:ROD68 ROG65:ROH68 ROK65:ROL68 ROO65:ROP68 ROS65:ROT68 ROW65:ROX68 RPA65:RPB68 RPE65:RPF68 RPI65:RPJ68 RPM65:RPN68 RPQ65:RPR68 RPU65:RPV68 RPY65:RPZ68 RQC65:RQD68 RQG65:RQH68 RQK65:RQL68 RQO65:RQP68 RQS65:RQT68 RQW65:RQX68 RRA65:RRB68 RRE65:RRF68 RRI65:RRJ68 RRM65:RRN68 RRQ65:RRR68 RRU65:RRV68 RRY65:RRZ68 RSC65:RSD68 RSG65:RSH68 RSK65:RSL68 RSO65:RSP68 RSS65:RST68 RSW65:RSX68 RTA65:RTB68 RTE65:RTF68 RTI65:RTJ68 RTM65:RTN68 RTQ65:RTR68 RTU65:RTV68 RTY65:RTZ68 RUC65:RUD68 RUG65:RUH68 RUK65:RUL68 RUO65:RUP68 RUS65:RUT68 RUW65:RUX68 RVA65:RVB68 RVE65:RVF68 RVI65:RVJ68 RVM65:RVN68 RVQ65:RVR68 RVU65:RVV68 RVY65:RVZ68 RWC65:RWD68 RWG65:RWH68 RWK65:RWL68 RWO65:RWP68 RWS65:RWT68 RWW65:RWX68 RXA65:RXB68 RXE65:RXF68 RXI65:RXJ68 RXM65:RXN68 RXQ65:RXR68 RXU65:RXV68 RXY65:RXZ68 RYC65:RYD68 RYG65:RYH68 RYK65:RYL68 RYO65:RYP68 RYS65:RYT68 RYW65:RYX68 RZA65:RZB68 RZE65:RZF68 RZI65:RZJ68 RZM65:RZN68 RZQ65:RZR68 RZU65:RZV68 RZY65:RZZ68 SAC65:SAD68 SAG65:SAH68 SAK65:SAL68 SAO65:SAP68 SAS65:SAT68 SAW65:SAX68 SBA65:SBB68 SBE65:SBF68 SBI65:SBJ68 SBM65:SBN68 SBQ65:SBR68 SBU65:SBV68 SBY65:SBZ68 SCC65:SCD68 SCG65:SCH68 SCK65:SCL68 SCO65:SCP68 SCS65:SCT68 SCW65:SCX68 SDA65:SDB68 SDE65:SDF68 SDI65:SDJ68 SDM65:SDN68 SDQ65:SDR68 SDU65:SDV68 SDY65:SDZ68 SEC65:SED68 SEG65:SEH68 SEK65:SEL68 SEO65:SEP68 SES65:SET68 SEW65:SEX68 SFA65:SFB68 SFE65:SFF68 SFI65:SFJ68 SFM65:SFN68 SFQ65:SFR68 SFU65:SFV68 SFY65:SFZ68 SGC65:SGD68 SGG65:SGH68 SGK65:SGL68 SGO65:SGP68 SGS65:SGT68 SGW65:SGX68 SHA65:SHB68 SHE65:SHF68 SHI65:SHJ68 SHM65:SHN68 SHQ65:SHR68 SHU65:SHV68 SHY65:SHZ68 SIC65:SID68 SIG65:SIH68 SIK65:SIL68 SIO65:SIP68 SIS65:SIT68 SIW65:SIX68 SJA65:SJB68 SJE65:SJF68 SJI65:SJJ68 SJM65:SJN68 SJQ65:SJR68 SJU65:SJV68 SJY65:SJZ68 SKC65:SKD68 SKG65:SKH68 SKK65:SKL68 SKO65:SKP68 SKS65:SKT68 SKW65:SKX68 SLA65:SLB68 SLE65:SLF68 SLI65:SLJ68 SLM65:SLN68 SLQ65:SLR68 SLU65:SLV68 SLY65:SLZ68 SMC65:SMD68 SMG65:SMH68 SMK65:SML68 SMO65:SMP68 SMS65:SMT68 SMW65:SMX68 SNA65:SNB68 SNE65:SNF68 SNI65:SNJ68 SNM65:SNN68 SNQ65:SNR68 SNU65:SNV68 SNY65:SNZ68 SOC65:SOD68 SOG65:SOH68 SOK65:SOL68 SOO65:SOP68 SOS65:SOT68 SOW65:SOX68 SPA65:SPB68 SPE65:SPF68 SPI65:SPJ68 SPM65:SPN68 SPQ65:SPR68 SPU65:SPV68 SPY65:SPZ68 SQC65:SQD68 SQG65:SQH68 SQK65:SQL68 SQO65:SQP68 SQS65:SQT68 SQW65:SQX68 SRA65:SRB68 SRE65:SRF68 SRI65:SRJ68 SRM65:SRN68 SRQ65:SRR68 SRU65:SRV68 SRY65:SRZ68 SSC65:SSD68 SSG65:SSH68 SSK65:SSL68 SSO65:SSP68 SSS65:SST68 SSW65:SSX68 STA65:STB68 STE65:STF68 STI65:STJ68 STM65:STN68 STQ65:STR68 STU65:STV68 STY65:STZ68 SUC65:SUD68 SUG65:SUH68 SUK65:SUL68 SUO65:SUP68 SUS65:SUT68 SUW65:SUX68 SVA65:SVB68 SVE65:SVF68 SVI65:SVJ68 SVM65:SVN68 SVQ65:SVR68 SVU65:SVV68 SVY65:SVZ68 SWC65:SWD68 SWG65:SWH68 SWK65:SWL68 SWO65:SWP68 SWS65:SWT68 SWW65:SWX68 SXA65:SXB68 SXE65:SXF68 SXI65:SXJ68 SXM65:SXN68 SXQ65:SXR68 SXU65:SXV68 SXY65:SXZ68 SYC65:SYD68 SYG65:SYH68 SYK65:SYL68 SYO65:SYP68 SYS65:SYT68 SYW65:SYX68 SZA65:SZB68 SZE65:SZF68 SZI65:SZJ68 SZM65:SZN68 SZQ65:SZR68 SZU65:SZV68 SZY65:SZZ68 TAC65:TAD68 TAG65:TAH68 TAK65:TAL68 TAO65:TAP68 TAS65:TAT68 TAW65:TAX68 TBA65:TBB68 TBE65:TBF68 TBI65:TBJ68 TBM65:TBN68 TBQ65:TBR68 TBU65:TBV68 TBY65:TBZ68 TCC65:TCD68 TCG65:TCH68 TCK65:TCL68 TCO65:TCP68 TCS65:TCT68 TCW65:TCX68 TDA65:TDB68 TDE65:TDF68 TDI65:TDJ68 TDM65:TDN68 TDQ65:TDR68 TDU65:TDV68 TDY65:TDZ68 TEC65:TED68 TEG65:TEH68 TEK65:TEL68 TEO65:TEP68 TES65:TET68 TEW65:TEX68 TFA65:TFB68 TFE65:TFF68 TFI65:TFJ68 TFM65:TFN68 TFQ65:TFR68 TFU65:TFV68 TFY65:TFZ68 TGC65:TGD68 TGG65:TGH68 TGK65:TGL68 TGO65:TGP68 TGS65:TGT68 TGW65:TGX68 THA65:THB68 THE65:THF68 THI65:THJ68 THM65:THN68 THQ65:THR68 THU65:THV68 THY65:THZ68 TIC65:TID68 TIG65:TIH68 TIK65:TIL68 TIO65:TIP68 TIS65:TIT68 TIW65:TIX68 TJA65:TJB68 TJE65:TJF68 TJI65:TJJ68 TJM65:TJN68 TJQ65:TJR68 TJU65:TJV68 TJY65:TJZ68 TKC65:TKD68 TKG65:TKH68 TKK65:TKL68 TKO65:TKP68 TKS65:TKT68 TKW65:TKX68 TLA65:TLB68 TLE65:TLF68 TLI65:TLJ68 TLM65:TLN68 TLQ65:TLR68 TLU65:TLV68 TLY65:TLZ68 TMC65:TMD68 TMG65:TMH68 TMK65:TML68 TMO65:TMP68 TMS65:TMT68 TMW65:TMX68 TNA65:TNB68 TNE65:TNF68 TNI65:TNJ68 TNM65:TNN68 TNQ65:TNR68 TNU65:TNV68 TNY65:TNZ68 TOC65:TOD68 TOG65:TOH68 TOK65:TOL68 TOO65:TOP68 TOS65:TOT68 TOW65:TOX68 TPA65:TPB68 TPE65:TPF68 TPI65:TPJ68 TPM65:TPN68 TPQ65:TPR68 TPU65:TPV68 TPY65:TPZ68 TQC65:TQD68 TQG65:TQH68 TQK65:TQL68 TQO65:TQP68 TQS65:TQT68 TQW65:TQX68 TRA65:TRB68 TRE65:TRF68 TRI65:TRJ68 TRM65:TRN68 TRQ65:TRR68 TRU65:TRV68 TRY65:TRZ68 TSC65:TSD68 TSG65:TSH68 TSK65:TSL68 TSO65:TSP68 TSS65:TST68 TSW65:TSX68 TTA65:TTB68 TTE65:TTF68 TTI65:TTJ68 TTM65:TTN68 TTQ65:TTR68 TTU65:TTV68 TTY65:TTZ68 TUC65:TUD68 TUG65:TUH68 TUK65:TUL68 TUO65:TUP68 TUS65:TUT68 TUW65:TUX68 TVA65:TVB68 TVE65:TVF68 TVI65:TVJ68 TVM65:TVN68 TVQ65:TVR68 TVU65:TVV68 TVY65:TVZ68 TWC65:TWD68 TWG65:TWH68 TWK65:TWL68 TWO65:TWP68 TWS65:TWT68 TWW65:TWX68 TXA65:TXB68 TXE65:TXF68 TXI65:TXJ68 TXM65:TXN68 TXQ65:TXR68 TXU65:TXV68 TXY65:TXZ68 TYC65:TYD68 TYG65:TYH68 TYK65:TYL68 TYO65:TYP68 TYS65:TYT68 TYW65:TYX68 TZA65:TZB68 TZE65:TZF68 TZI65:TZJ68 TZM65:TZN68 TZQ65:TZR68 TZU65:TZV68 TZY65:TZZ68 UAC65:UAD68 UAG65:UAH68 UAK65:UAL68 UAO65:UAP68 UAS65:UAT68 UAW65:UAX68 UBA65:UBB68 UBE65:UBF68 UBI65:UBJ68 UBM65:UBN68 UBQ65:UBR68 UBU65:UBV68 UBY65:UBZ68 UCC65:UCD68 UCG65:UCH68 UCK65:UCL68 UCO65:UCP68 UCS65:UCT68 UCW65:UCX68 UDA65:UDB68 UDE65:UDF68 UDI65:UDJ68 UDM65:UDN68 UDQ65:UDR68 UDU65:UDV68 UDY65:UDZ68 UEC65:UED68 UEG65:UEH68 UEK65:UEL68 UEO65:UEP68 UES65:UET68 UEW65:UEX68 UFA65:UFB68 UFE65:UFF68 UFI65:UFJ68 UFM65:UFN68 UFQ65:UFR68 UFU65:UFV68 UFY65:UFZ68 UGC65:UGD68 UGG65:UGH68 UGK65:UGL68 UGO65:UGP68 UGS65:UGT68 UGW65:UGX68 UHA65:UHB68 UHE65:UHF68 UHI65:UHJ68 UHM65:UHN68 UHQ65:UHR68 UHU65:UHV68 UHY65:UHZ68 UIC65:UID68 UIG65:UIH68 UIK65:UIL68 UIO65:UIP68 UIS65:UIT68 UIW65:UIX68 UJA65:UJB68 UJE65:UJF68 UJI65:UJJ68 UJM65:UJN68 UJQ65:UJR68 UJU65:UJV68 UJY65:UJZ68 UKC65:UKD68 UKG65:UKH68 UKK65:UKL68 UKO65:UKP68 UKS65:UKT68 UKW65:UKX68 ULA65:ULB68 ULE65:ULF68 ULI65:ULJ68 ULM65:ULN68 ULQ65:ULR68 ULU65:ULV68 ULY65:ULZ68 UMC65:UMD68 UMG65:UMH68 UMK65:UML68 UMO65:UMP68 UMS65:UMT68 UMW65:UMX68 UNA65:UNB68 UNE65:UNF68 UNI65:UNJ68 UNM65:UNN68 UNQ65:UNR68 UNU65:UNV68 UNY65:UNZ68 UOC65:UOD68 UOG65:UOH68 UOK65:UOL68 UOO65:UOP68 UOS65:UOT68 UOW65:UOX68 UPA65:UPB68 UPE65:UPF68 UPI65:UPJ68 UPM65:UPN68 UPQ65:UPR68 UPU65:UPV68 UPY65:UPZ68 UQC65:UQD68 UQG65:UQH68 UQK65:UQL68 UQO65:UQP68 UQS65:UQT68 UQW65:UQX68 URA65:URB68 URE65:URF68 URI65:URJ68 URM65:URN68 URQ65:URR68 URU65:URV68 URY65:URZ68 USC65:USD68 USG65:USH68 USK65:USL68 USO65:USP68 USS65:UST68 USW65:USX68 UTA65:UTB68 UTE65:UTF68 UTI65:UTJ68 UTM65:UTN68 UTQ65:UTR68 UTU65:UTV68 UTY65:UTZ68 UUC65:UUD68 UUG65:UUH68 UUK65:UUL68 UUO65:UUP68 UUS65:UUT68 UUW65:UUX68 UVA65:UVB68 UVE65:UVF68 UVI65:UVJ68 UVM65:UVN68 UVQ65:UVR68 UVU65:UVV68 UVY65:UVZ68 UWC65:UWD68 UWG65:UWH68 UWK65:UWL68 UWO65:UWP68 UWS65:UWT68 UWW65:UWX68 UXA65:UXB68 UXE65:UXF68 UXI65:UXJ68 UXM65:UXN68 UXQ65:UXR68 UXU65:UXV68 UXY65:UXZ68 UYC65:UYD68 UYG65:UYH68 UYK65:UYL68 UYO65:UYP68 UYS65:UYT68 UYW65:UYX68 UZA65:UZB68 UZE65:UZF68 UZI65:UZJ68 UZM65:UZN68 UZQ65:UZR68 UZU65:UZV68 UZY65:UZZ68 VAC65:VAD68 VAG65:VAH68 VAK65:VAL68 VAO65:VAP68 VAS65:VAT68 VAW65:VAX68 VBA65:VBB68 VBE65:VBF68 VBI65:VBJ68 VBM65:VBN68 VBQ65:VBR68 VBU65:VBV68 VBY65:VBZ68 VCC65:VCD68 VCG65:VCH68 VCK65:VCL68 VCO65:VCP68 VCS65:VCT68 VCW65:VCX68 VDA65:VDB68 VDE65:VDF68 VDI65:VDJ68 VDM65:VDN68 VDQ65:VDR68 VDU65:VDV68 VDY65:VDZ68 VEC65:VED68 VEG65:VEH68 VEK65:VEL68 VEO65:VEP68 VES65:VET68 VEW65:VEX68 VFA65:VFB68 VFE65:VFF68 VFI65:VFJ68 VFM65:VFN68 VFQ65:VFR68 VFU65:VFV68 VFY65:VFZ68 VGC65:VGD68 VGG65:VGH68 VGK65:VGL68 VGO65:VGP68 VGS65:VGT68 VGW65:VGX68 VHA65:VHB68 VHE65:VHF68 VHI65:VHJ68 VHM65:VHN68 VHQ65:VHR68 VHU65:VHV68 VHY65:VHZ68 VIC65:VID68 VIG65:VIH68 VIK65:VIL68 VIO65:VIP68 VIS65:VIT68 VIW65:VIX68 VJA65:VJB68 VJE65:VJF68 VJI65:VJJ68 VJM65:VJN68 VJQ65:VJR68 VJU65:VJV68 VJY65:VJZ68 VKC65:VKD68 VKG65:VKH68 VKK65:VKL68 VKO65:VKP68 VKS65:VKT68 VKW65:VKX68 VLA65:VLB68 VLE65:VLF68 VLI65:VLJ68 VLM65:VLN68 VLQ65:VLR68 VLU65:VLV68 VLY65:VLZ68 VMC65:VMD68 VMG65:VMH68 VMK65:VML68 VMO65:VMP68 VMS65:VMT68 VMW65:VMX68 VNA65:VNB68 VNE65:VNF68 VNI65:VNJ68 VNM65:VNN68 VNQ65:VNR68 VNU65:VNV68 VNY65:VNZ68 VOC65:VOD68 VOG65:VOH68 VOK65:VOL68 VOO65:VOP68 VOS65:VOT68 VOW65:VOX68 VPA65:VPB68 VPE65:VPF68 VPI65:VPJ68 VPM65:VPN68 VPQ65:VPR68 VPU65:VPV68 VPY65:VPZ68 VQC65:VQD68 VQG65:VQH68 VQK65:VQL68 VQO65:VQP68 VQS65:VQT68 VQW65:VQX68 VRA65:VRB68 VRE65:VRF68 VRI65:VRJ68 VRM65:VRN68 VRQ65:VRR68 VRU65:VRV68 VRY65:VRZ68 VSC65:VSD68 VSG65:VSH68 VSK65:VSL68 VSO65:VSP68 VSS65:VST68 VSW65:VSX68 VTA65:VTB68 VTE65:VTF68 VTI65:VTJ68 VTM65:VTN68 VTQ65:VTR68 VTU65:VTV68 VTY65:VTZ68 VUC65:VUD68 VUG65:VUH68 VUK65:VUL68 VUO65:VUP68 VUS65:VUT68 VUW65:VUX68 VVA65:VVB68 VVE65:VVF68 VVI65:VVJ68 VVM65:VVN68 VVQ65:VVR68 VVU65:VVV68 VVY65:VVZ68 VWC65:VWD68 VWG65:VWH68 VWK65:VWL68 VWO65:VWP68 VWS65:VWT68 VWW65:VWX68 VXA65:VXB68 VXE65:VXF68 VXI65:VXJ68 VXM65:VXN68 VXQ65:VXR68 VXU65:VXV68 VXY65:VXZ68 VYC65:VYD68 VYG65:VYH68 VYK65:VYL68 VYO65:VYP68 VYS65:VYT68 VYW65:VYX68 VZA65:VZB68 VZE65:VZF68 VZI65:VZJ68 VZM65:VZN68 VZQ65:VZR68 VZU65:VZV68 VZY65:VZZ68 WAC65:WAD68 WAG65:WAH68 WAK65:WAL68 WAO65:WAP68 WAS65:WAT68 WAW65:WAX68 WBA65:WBB68 WBE65:WBF68 WBI65:WBJ68 WBM65:WBN68 WBQ65:WBR68 WBU65:WBV68 WBY65:WBZ68 WCC65:WCD68 WCG65:WCH68 WCK65:WCL68 WCO65:WCP68 WCS65:WCT68 WCW65:WCX68 WDA65:WDB68 WDE65:WDF68 WDI65:WDJ68 WDM65:WDN68 WDQ65:WDR68 WDU65:WDV68 WDY65:WDZ68 WEC65:WED68 WEG65:WEH68 WEK65:WEL68 WEO65:WEP68 WES65:WET68 WEW65:WEX68 WFA65:WFB68 WFE65:WFF68 WFI65:WFJ68 WFM65:WFN68 WFQ65:WFR68 WFU65:WFV68 WFY65:WFZ68 WGC65:WGD68 WGG65:WGH68 WGK65:WGL68 WGO65:WGP68 WGS65:WGT68 WGW65:WGX68 WHA65:WHB68 WHE65:WHF68 WHI65:WHJ68 WHM65:WHN68 WHQ65:WHR68 WHU65:WHV68 WHY65:WHZ68 WIC65:WID68 WIG65:WIH68 WIK65:WIL68 WIO65:WIP68 WIS65:WIT68 WIW65:WIX68 WJA65:WJB68 WJE65:WJF68 WJI65:WJJ68 WJM65:WJN68 WJQ65:WJR68 WJU65:WJV68 WJY65:WJZ68 WKC65:WKD68 WKG65:WKH68 WKK65:WKL68 WKO65:WKP68 WKS65:WKT68 WKW65:WKX68 WLA65:WLB68 WLE65:WLF68 WLI65:WLJ68 WLM65:WLN68 WLQ65:WLR68 WLU65:WLV68 WLY65:WLZ68 WMC65:WMD68 WMG65:WMH68 WMK65:WML68 WMO65:WMP68 WMS65:WMT68 WMW65:WMX68 WNA65:WNB68 WNE65:WNF68 WNI65:WNJ68 WNM65:WNN68 WNQ65:WNR68 WNU65:WNV68 WNY65:WNZ68 WOC65:WOD68 WOG65:WOH68 WOK65:WOL68 WOO65:WOP68 WOS65:WOT68 WOW65:WOX68 WPA65:WPB68 WPE65:WPF68 WPI65:WPJ68 WPM65:WPN68 WPQ65:WPR68 WPU65:WPV68 WPY65:WPZ68 WQC65:WQD68 WQG65:WQH68 WQK65:WQL68 WQO65:WQP68 WQS65:WQT68 WQW65:WQX68 WRA65:WRB68 WRE65:WRF68 WRI65:WRJ68 WRM65:WRN68 WRQ65:WRR68 WRU65:WRV68 WRY65:WRZ68 WSC65:WSD68 WSG65:WSH68 WSK65:WSL68 WSO65:WSP68 WSS65:WST68 WSW65:WSX68 WTA65:WTB68 WTE65:WTF68 WTI65:WTJ68 WTM65:WTN68 WTQ65:WTR68 WTU65:WTV68 WTY65:WTZ68 WUC65:WUD68 WUG65:WUH68 WUK65:WUL68 WUO65:WUP68 WUS65:WUT68 WUW65:WUX68 WVA65:WVB68 WVE65:WVF68 WVI65:WVJ68 WVM65:WVN68 WVQ65:WVR68 WVU65:WVV68 WVY65:WVZ68 WWC65:WWD68 WWG65:WWH68 WWK65:WWL68 WWO65:WWP68 WWS65:WWT68 WWW65:WWX68 WXA65:WXB68 WXE65:WXF68 WXI65:WXJ68 WXM65:WXN68 WXQ65:WXR68 WXU65:WXV68 WXY65:WXZ68 WYC65:WYD68 WYG65:WYH68 WYK65:WYL68 WYO65:WYP68 WYS65:WYT68 WYW65:WYX68 WZA65:WZB68 WZE65:WZF68 WZI65:WZJ68 WZM65:WZN68 WZQ65:WZR68 WZU65:WZV68 WZY65:WZZ68 XAC65:XAD68 XAG65:XAH68 XAK65:XAL68 XAO65:XAP68 XAS65:XAT68 XAW65:XAX68 XBA65:XBB68 XBE65:XBF68 XBI65:XBJ68 XBM65:XBN68 XBQ65:XBR68 XBU65:XBV68 XBY65:XBZ68 XCC65:XCD68 XCG65:XCH68 XCK65:XCL68 XCO65:XCP68 XCS65:XCT68 XCW65:XCX68 XDA65:XDB68 XDE65:XDF68 XDI65:XDJ68 XDM65:XDN68 XDQ65:XDR68 XDU65:XDV68 XDY65:XDZ68 XEC65:XED68 XEG65:XEH68 XEK65:XEL68 XEO65:XEP68 XES65:XET68 XEW65:XEX68 XFA65:XFB68</xm:sqref>
        </x14:conditionalFormatting>
        <x14:conditionalFormatting xmlns:xm="http://schemas.microsoft.com/office/excel/2006/main">
          <x14:cfRule type="expression" priority="18" id="{E2A1EF00-895D-4F88-8B4A-3B52EA99073D}">
            <xm:f>'7 Communication'!#REF!="NO"</xm:f>
            <x14:dxf>
              <font>
                <color theme="0" tint="-0.14996795556505021"/>
              </font>
              <fill>
                <patternFill>
                  <bgColor theme="0" tint="-0.24994659260841701"/>
                </patternFill>
              </fill>
              <border>
                <left/>
                <right/>
                <top/>
                <bottom/>
              </border>
            </x14:dxf>
          </x14:cfRule>
          <xm:sqref>B47:F49</xm:sqref>
        </x14:conditionalFormatting>
        <x14:conditionalFormatting xmlns:xm="http://schemas.microsoft.com/office/excel/2006/main">
          <x14:cfRule type="expression" priority="17" id="{6D45CFBE-C5A6-40F2-B3FF-F9AD801553BC}">
            <xm:f>'7 Communication'!#REF!="NO"</xm:f>
            <x14:dxf>
              <font>
                <color theme="0" tint="-0.14996795556505021"/>
              </font>
              <fill>
                <patternFill>
                  <bgColor theme="0" tint="-0.24994659260841701"/>
                </patternFill>
              </fill>
              <border>
                <left/>
                <right/>
                <top/>
                <bottom/>
              </border>
            </x14:dxf>
          </x14:cfRule>
          <xm:sqref>B50:F50 B52:F52 B51:D51 F51</xm:sqref>
        </x14:conditionalFormatting>
        <x14:conditionalFormatting xmlns:xm="http://schemas.microsoft.com/office/excel/2006/main">
          <x14:cfRule type="expression" priority="16" id="{8F7BFB0B-0FE4-4D52-BB57-3B14A206A8F5}">
            <xm:f>'9 ITS Device Replac Benefit'!#REF!="NO"</xm:f>
            <x14:dxf>
              <font>
                <color theme="0" tint="-0.24994659260841701"/>
              </font>
              <fill>
                <patternFill>
                  <bgColor theme="0" tint="-0.34998626667073579"/>
                </patternFill>
              </fill>
            </x14:dxf>
          </x14:cfRule>
          <xm:sqref>B35:F35 B29:C34 F29:F34 B27:F28</xm:sqref>
        </x14:conditionalFormatting>
        <x14:conditionalFormatting xmlns:xm="http://schemas.microsoft.com/office/excel/2006/main">
          <x14:cfRule type="expression" priority="15" id="{C77D027B-03E2-4749-9150-FAE8E6EF7456}">
            <xm:f>'7 Communication'!#REF!="NO"</xm:f>
            <x14:dxf>
              <font>
                <color theme="0" tint="-0.14996795556505021"/>
              </font>
              <fill>
                <patternFill>
                  <bgColor theme="0" tint="-0.24994659260841701"/>
                </patternFill>
              </fill>
              <border>
                <left/>
                <right/>
                <top/>
                <bottom/>
              </border>
            </x14:dxf>
          </x14:cfRule>
          <xm:sqref>B54:D55 B53:C53 F53:F55 F60 B60:D60 B56:B59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Y10"/>
  <sheetViews>
    <sheetView topLeftCell="AH1" workbookViewId="0">
      <selection activeCell="AY5" sqref="AY5"/>
    </sheetView>
  </sheetViews>
  <sheetFormatPr defaultRowHeight="14.4" x14ac:dyDescent="0.3"/>
  <cols>
    <col min="2" max="2" width="4.88671875" customWidth="1"/>
    <col min="3" max="3" width="41.5546875" bestFit="1" customWidth="1"/>
    <col min="4" max="4" width="2.88671875" customWidth="1"/>
    <col min="5" max="5" width="28" bestFit="1" customWidth="1"/>
    <col min="6" max="6" width="3.33203125" customWidth="1"/>
    <col min="7" max="7" width="28" customWidth="1"/>
    <col min="8" max="8" width="1.88671875" customWidth="1"/>
    <col min="9" max="9" width="13.109375" bestFit="1" customWidth="1"/>
    <col min="10" max="10" width="2.88671875" customWidth="1"/>
    <col min="11" max="11" width="21.5546875" customWidth="1"/>
    <col min="12" max="12" width="2.109375" customWidth="1"/>
    <col min="13" max="13" width="29" bestFit="1" customWidth="1"/>
    <col min="14" max="14" width="2" customWidth="1"/>
    <col min="15" max="15" width="22.44140625" bestFit="1" customWidth="1"/>
    <col min="16" max="16" width="2" customWidth="1"/>
    <col min="17" max="17" width="25.33203125" bestFit="1" customWidth="1"/>
    <col min="18" max="18" width="2" customWidth="1"/>
    <col min="19" max="19" width="37.109375" bestFit="1" customWidth="1"/>
    <col min="20" max="20" width="1.5546875" customWidth="1"/>
    <col min="21" max="21" width="28.88671875" bestFit="1" customWidth="1"/>
    <col min="22" max="22" width="2.88671875" customWidth="1"/>
    <col min="23" max="23" width="13.88671875" bestFit="1" customWidth="1"/>
    <col min="24" max="24" width="2.44140625" customWidth="1"/>
    <col min="25" max="25" width="22.109375" bestFit="1" customWidth="1"/>
    <col min="26" max="26" width="2.109375" customWidth="1"/>
    <col min="27" max="27" width="26.33203125" bestFit="1" customWidth="1"/>
    <col min="28" max="28" width="3.33203125" customWidth="1"/>
    <col min="29" max="29" width="42.6640625" bestFit="1" customWidth="1"/>
    <col min="30" max="30" width="2.5546875" customWidth="1"/>
    <col min="31" max="31" width="23.44140625" bestFit="1" customWidth="1"/>
    <col min="33" max="33" width="2.5546875" customWidth="1"/>
    <col min="34" max="34" width="21" bestFit="1" customWidth="1"/>
    <col min="35" max="35" width="2.33203125" customWidth="1"/>
    <col min="36" max="36" width="16.33203125" bestFit="1" customWidth="1"/>
    <col min="37" max="37" width="2.5546875" customWidth="1"/>
    <col min="38" max="38" width="14.88671875" bestFit="1" customWidth="1"/>
    <col min="39" max="39" width="2.5546875" customWidth="1"/>
    <col min="40" max="40" width="18.109375" customWidth="1"/>
    <col min="41" max="41" width="12.88671875" customWidth="1"/>
  </cols>
  <sheetData>
    <row r="1" spans="1:51" s="10" customFormat="1" x14ac:dyDescent="0.3">
      <c r="A1" s="9" t="s">
        <v>17</v>
      </c>
      <c r="C1" s="10" t="s">
        <v>18</v>
      </c>
      <c r="E1" s="10" t="s">
        <v>21</v>
      </c>
      <c r="G1" s="10" t="s">
        <v>72</v>
      </c>
      <c r="I1" s="10" t="s">
        <v>26</v>
      </c>
      <c r="K1" s="10" t="s">
        <v>355</v>
      </c>
      <c r="M1" s="10" t="s">
        <v>34</v>
      </c>
      <c r="O1" s="10" t="s">
        <v>44</v>
      </c>
      <c r="Q1" s="10" t="s">
        <v>50</v>
      </c>
      <c r="S1" s="10" t="s">
        <v>53</v>
      </c>
      <c r="U1" s="10" t="s">
        <v>58</v>
      </c>
      <c r="W1" s="10" t="s">
        <v>77</v>
      </c>
      <c r="Y1" s="10" t="s">
        <v>134</v>
      </c>
      <c r="AA1" s="10" t="s">
        <v>186</v>
      </c>
      <c r="AC1" s="10" t="s">
        <v>208</v>
      </c>
      <c r="AE1" s="389" t="s">
        <v>214</v>
      </c>
      <c r="AF1" s="389"/>
      <c r="AH1" s="10" t="s">
        <v>226</v>
      </c>
      <c r="AJ1" s="10" t="s">
        <v>227</v>
      </c>
      <c r="AL1" s="10" t="s">
        <v>228</v>
      </c>
      <c r="AN1" s="389" t="s">
        <v>237</v>
      </c>
      <c r="AO1" s="389"/>
      <c r="AP1" s="51" t="s">
        <v>238</v>
      </c>
      <c r="AR1" s="10" t="s">
        <v>296</v>
      </c>
      <c r="AS1" s="10" t="s">
        <v>402</v>
      </c>
      <c r="AU1" s="10" t="s">
        <v>405</v>
      </c>
      <c r="AV1" s="10" t="s">
        <v>402</v>
      </c>
      <c r="AY1" s="10" t="s">
        <v>621</v>
      </c>
    </row>
    <row r="2" spans="1:51" x14ac:dyDescent="0.3">
      <c r="A2" s="1" t="s">
        <v>4</v>
      </c>
      <c r="C2" t="s">
        <v>19</v>
      </c>
      <c r="E2" t="s">
        <v>23</v>
      </c>
      <c r="G2" t="s">
        <v>73</v>
      </c>
      <c r="I2" t="s">
        <v>27</v>
      </c>
      <c r="K2" t="s">
        <v>28</v>
      </c>
      <c r="M2" t="s">
        <v>35</v>
      </c>
      <c r="O2" t="s">
        <v>45</v>
      </c>
      <c r="Q2" t="s">
        <v>606</v>
      </c>
      <c r="S2" t="s">
        <v>54</v>
      </c>
      <c r="U2" t="s">
        <v>59</v>
      </c>
      <c r="W2" t="s">
        <v>78</v>
      </c>
      <c r="Y2" t="s">
        <v>135</v>
      </c>
      <c r="AA2" t="s">
        <v>190</v>
      </c>
      <c r="AC2" t="s">
        <v>209</v>
      </c>
      <c r="AE2" s="289" t="s">
        <v>216</v>
      </c>
      <c r="AF2">
        <f>AVERAGE(1,5)</f>
        <v>3</v>
      </c>
      <c r="AH2" t="s">
        <v>229</v>
      </c>
      <c r="AJ2" t="s">
        <v>230</v>
      </c>
      <c r="AL2" t="s">
        <v>10</v>
      </c>
      <c r="AN2" t="s">
        <v>27</v>
      </c>
      <c r="AO2" s="53">
        <v>1253</v>
      </c>
      <c r="AP2">
        <v>211</v>
      </c>
      <c r="AR2" s="97" t="s">
        <v>298</v>
      </c>
      <c r="AS2">
        <v>10</v>
      </c>
      <c r="AU2" t="s">
        <v>396</v>
      </c>
      <c r="AV2">
        <v>5</v>
      </c>
      <c r="AY2" t="s">
        <v>622</v>
      </c>
    </row>
    <row r="3" spans="1:51" x14ac:dyDescent="0.3">
      <c r="A3" s="1" t="s">
        <v>3</v>
      </c>
      <c r="C3" t="s">
        <v>251</v>
      </c>
      <c r="E3" t="s">
        <v>22</v>
      </c>
      <c r="G3" t="s">
        <v>74</v>
      </c>
      <c r="I3" t="s">
        <v>28</v>
      </c>
      <c r="K3" t="s">
        <v>29</v>
      </c>
      <c r="M3" t="s">
        <v>36</v>
      </c>
      <c r="O3" t="s">
        <v>46</v>
      </c>
      <c r="Q3" t="s">
        <v>51</v>
      </c>
      <c r="S3" t="s">
        <v>55</v>
      </c>
      <c r="U3" t="s">
        <v>61</v>
      </c>
      <c r="W3" t="s">
        <v>79</v>
      </c>
      <c r="Y3" t="s">
        <v>136</v>
      </c>
      <c r="AA3" t="s">
        <v>187</v>
      </c>
      <c r="AC3" t="s">
        <v>210</v>
      </c>
      <c r="AE3" s="289" t="s">
        <v>217</v>
      </c>
      <c r="AF3">
        <f>AVERAGE(6,15)</f>
        <v>10.5</v>
      </c>
      <c r="AH3" t="s">
        <v>231</v>
      </c>
      <c r="AJ3" t="s">
        <v>225</v>
      </c>
      <c r="AL3" t="s">
        <v>11</v>
      </c>
      <c r="AN3" t="s">
        <v>28</v>
      </c>
      <c r="AO3" s="53">
        <v>316</v>
      </c>
      <c r="AP3">
        <v>1048</v>
      </c>
      <c r="AR3" s="97" t="s">
        <v>299</v>
      </c>
      <c r="AS3">
        <v>35</v>
      </c>
      <c r="AU3" t="s">
        <v>397</v>
      </c>
      <c r="AV3">
        <v>15</v>
      </c>
      <c r="AY3" t="s">
        <v>623</v>
      </c>
    </row>
    <row r="4" spans="1:51" x14ac:dyDescent="0.3">
      <c r="A4" s="295" t="s">
        <v>618</v>
      </c>
      <c r="G4" t="s">
        <v>75</v>
      </c>
      <c r="I4" t="s">
        <v>29</v>
      </c>
      <c r="K4" t="s">
        <v>30</v>
      </c>
      <c r="M4" t="s">
        <v>37</v>
      </c>
      <c r="U4" t="s">
        <v>60</v>
      </c>
      <c r="Y4" t="s">
        <v>137</v>
      </c>
      <c r="AA4" t="s">
        <v>188</v>
      </c>
      <c r="AE4" s="289" t="s">
        <v>218</v>
      </c>
      <c r="AF4">
        <f>AVERAGE(16,30)</f>
        <v>23</v>
      </c>
      <c r="AH4" t="s">
        <v>232</v>
      </c>
      <c r="AL4" t="s">
        <v>193</v>
      </c>
      <c r="AN4" t="s">
        <v>29</v>
      </c>
      <c r="AO4" s="53">
        <v>482</v>
      </c>
      <c r="AP4">
        <v>218</v>
      </c>
      <c r="AR4" s="97" t="s">
        <v>300</v>
      </c>
      <c r="AS4">
        <v>75</v>
      </c>
      <c r="AU4" t="s">
        <v>398</v>
      </c>
      <c r="AV4">
        <v>27.5</v>
      </c>
      <c r="AY4" t="s">
        <v>624</v>
      </c>
    </row>
    <row r="5" spans="1:51" x14ac:dyDescent="0.3">
      <c r="G5" t="s">
        <v>12</v>
      </c>
      <c r="I5" t="s">
        <v>30</v>
      </c>
      <c r="K5" t="s">
        <v>32</v>
      </c>
      <c r="M5" t="s">
        <v>38</v>
      </c>
      <c r="AA5" t="s">
        <v>189</v>
      </c>
      <c r="AE5" s="289" t="s">
        <v>219</v>
      </c>
      <c r="AF5">
        <f>AVERAGE(31,50)</f>
        <v>40.5</v>
      </c>
      <c r="AL5" t="s">
        <v>12</v>
      </c>
      <c r="AN5" t="s">
        <v>30</v>
      </c>
      <c r="AO5" s="53">
        <v>437</v>
      </c>
      <c r="AP5">
        <v>86</v>
      </c>
      <c r="AR5" s="97" t="s">
        <v>153</v>
      </c>
      <c r="AS5" t="e">
        <f>NA()</f>
        <v>#N/A</v>
      </c>
      <c r="AU5" t="s">
        <v>399</v>
      </c>
      <c r="AV5">
        <v>45</v>
      </c>
    </row>
    <row r="6" spans="1:51" x14ac:dyDescent="0.3">
      <c r="I6" t="s">
        <v>32</v>
      </c>
      <c r="K6" t="s">
        <v>31</v>
      </c>
      <c r="M6" t="s">
        <v>39</v>
      </c>
      <c r="AE6" s="289" t="s">
        <v>603</v>
      </c>
      <c r="AF6">
        <f>AVERAGE(51,75)</f>
        <v>63</v>
      </c>
      <c r="AN6" t="s">
        <v>32</v>
      </c>
      <c r="AO6" s="53">
        <v>444</v>
      </c>
      <c r="AP6">
        <v>23</v>
      </c>
      <c r="AU6" t="s">
        <v>400</v>
      </c>
      <c r="AV6">
        <v>67.5</v>
      </c>
    </row>
    <row r="7" spans="1:51" x14ac:dyDescent="0.3">
      <c r="I7" t="s">
        <v>31</v>
      </c>
      <c r="M7" t="s">
        <v>40</v>
      </c>
      <c r="AE7" s="289" t="s">
        <v>604</v>
      </c>
      <c r="AF7">
        <f>AVERAGE(76,95)</f>
        <v>85.5</v>
      </c>
      <c r="AN7" t="s">
        <v>31</v>
      </c>
      <c r="AO7" s="53">
        <v>733</v>
      </c>
      <c r="AP7">
        <v>104</v>
      </c>
      <c r="AU7" t="s">
        <v>401</v>
      </c>
      <c r="AV7">
        <v>85</v>
      </c>
    </row>
    <row r="8" spans="1:51" x14ac:dyDescent="0.3">
      <c r="M8" t="s">
        <v>41</v>
      </c>
    </row>
    <row r="9" spans="1:51" x14ac:dyDescent="0.3">
      <c r="M9" t="s">
        <v>42</v>
      </c>
    </row>
    <row r="10" spans="1:51" x14ac:dyDescent="0.3">
      <c r="M10" t="s">
        <v>43</v>
      </c>
    </row>
  </sheetData>
  <mergeCells count="2">
    <mergeCell ref="AE1:AF1"/>
    <mergeCell ref="AN1:AO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pageSetUpPr fitToPage="1"/>
  </sheetPr>
  <dimension ref="A1:H79"/>
  <sheetViews>
    <sheetView zoomScale="85" zoomScaleNormal="85" zoomScaleSheetLayoutView="85" workbookViewId="0">
      <selection activeCell="E8" sqref="E8"/>
    </sheetView>
  </sheetViews>
  <sheetFormatPr defaultColWidth="8.88671875" defaultRowHeight="14.4" x14ac:dyDescent="0.3"/>
  <cols>
    <col min="1" max="1" width="2" style="4" customWidth="1"/>
    <col min="2" max="2" width="12.6640625" style="4" customWidth="1"/>
    <col min="3" max="3" width="44.88671875" style="4" customWidth="1"/>
    <col min="4" max="4" width="11.44140625" style="4" customWidth="1"/>
    <col min="5" max="5" width="29" style="4" customWidth="1"/>
    <col min="6" max="6" width="1.44140625" style="4" customWidth="1"/>
    <col min="7" max="7" width="2" style="4" customWidth="1"/>
    <col min="8" max="16384" width="8.88671875" style="4"/>
  </cols>
  <sheetData>
    <row r="1" spans="1:7" x14ac:dyDescent="0.3">
      <c r="A1" s="7"/>
      <c r="B1" s="7"/>
      <c r="C1" s="277" t="s">
        <v>488</v>
      </c>
      <c r="D1" s="7"/>
      <c r="E1" s="7"/>
      <c r="F1" s="7"/>
      <c r="G1" s="7"/>
    </row>
    <row r="2" spans="1:7" ht="25.8" x14ac:dyDescent="0.3">
      <c r="A2" s="7"/>
      <c r="B2" s="7"/>
      <c r="C2" s="176" t="s">
        <v>56</v>
      </c>
      <c r="D2" s="162"/>
      <c r="E2" s="162"/>
      <c r="F2" s="7"/>
      <c r="G2" s="7"/>
    </row>
    <row r="3" spans="1:7" x14ac:dyDescent="0.3">
      <c r="A3" s="7"/>
      <c r="B3" s="7"/>
      <c r="C3" s="7" t="s">
        <v>250</v>
      </c>
      <c r="D3" s="7"/>
      <c r="E3" s="7"/>
      <c r="F3" s="7"/>
      <c r="G3" s="7"/>
    </row>
    <row r="4" spans="1:7" x14ac:dyDescent="0.3">
      <c r="A4" s="7"/>
      <c r="B4" s="7"/>
      <c r="C4" s="7"/>
      <c r="D4" s="7"/>
      <c r="E4" s="7"/>
      <c r="F4" s="7"/>
      <c r="G4" s="7"/>
    </row>
    <row r="5" spans="1:7" x14ac:dyDescent="0.3">
      <c r="A5" s="7"/>
      <c r="B5" s="7"/>
      <c r="C5" s="20" t="s">
        <v>2</v>
      </c>
      <c r="D5" s="380" t="str">
        <f>IF('Project Information'!E5=0, "-",'Project Information'!E5)</f>
        <v>-</v>
      </c>
      <c r="E5" s="380"/>
      <c r="F5" s="7"/>
      <c r="G5" s="7"/>
    </row>
    <row r="6" spans="1:7" x14ac:dyDescent="0.3">
      <c r="A6" s="7"/>
      <c r="B6" s="7"/>
      <c r="C6" s="20" t="s">
        <v>0</v>
      </c>
      <c r="D6" s="380" t="str">
        <f>IF('Project Information'!E6=0, "-",'Project Information'!E6)</f>
        <v>-</v>
      </c>
      <c r="E6" s="380"/>
      <c r="F6" s="7"/>
      <c r="G6" s="7"/>
    </row>
    <row r="7" spans="1:7" x14ac:dyDescent="0.3">
      <c r="A7" s="7"/>
      <c r="B7" s="7"/>
      <c r="C7" s="20" t="s">
        <v>160</v>
      </c>
      <c r="D7" s="380" t="str">
        <f>IF('Project Information'!E7=0, "-",'Project Information'!E7)</f>
        <v>-</v>
      </c>
      <c r="E7" s="380"/>
      <c r="F7" s="7"/>
      <c r="G7" s="7"/>
    </row>
    <row r="8" spans="1:7" x14ac:dyDescent="0.3">
      <c r="A8" s="7"/>
      <c r="B8" s="7"/>
      <c r="C8" s="7"/>
      <c r="D8" s="20"/>
      <c r="E8" s="7"/>
      <c r="F8" s="7"/>
      <c r="G8" s="7"/>
    </row>
    <row r="9" spans="1:7" x14ac:dyDescent="0.3">
      <c r="A9" s="7"/>
      <c r="B9" s="7"/>
      <c r="C9" s="7"/>
      <c r="D9" s="20"/>
      <c r="E9" s="7"/>
      <c r="F9" s="7"/>
      <c r="G9" s="7"/>
    </row>
    <row r="10" spans="1:7" x14ac:dyDescent="0.3">
      <c r="A10" s="7"/>
      <c r="B10" s="50">
        <v>1</v>
      </c>
      <c r="C10" s="19" t="s">
        <v>233</v>
      </c>
      <c r="D10" s="355"/>
      <c r="E10" s="355"/>
      <c r="F10" s="7"/>
      <c r="G10" s="7"/>
    </row>
    <row r="11" spans="1:7" ht="17.25" customHeight="1" x14ac:dyDescent="0.3">
      <c r="A11" s="7"/>
      <c r="B11" s="50"/>
      <c r="C11" s="19"/>
      <c r="D11" s="8"/>
      <c r="E11" s="7"/>
      <c r="F11" s="7"/>
      <c r="G11" s="7"/>
    </row>
    <row r="12" spans="1:7" x14ac:dyDescent="0.3">
      <c r="A12" s="7"/>
      <c r="B12" s="50">
        <v>2</v>
      </c>
      <c r="C12" s="106" t="s">
        <v>16</v>
      </c>
      <c r="D12" s="365"/>
      <c r="E12" s="365"/>
      <c r="F12" s="7"/>
      <c r="G12" s="7"/>
    </row>
    <row r="13" spans="1:7" x14ac:dyDescent="0.3">
      <c r="A13" s="7"/>
      <c r="B13" s="50"/>
      <c r="C13" s="106"/>
      <c r="D13" s="111"/>
      <c r="E13" s="111"/>
      <c r="F13" s="7"/>
      <c r="G13" s="7"/>
    </row>
    <row r="14" spans="1:7" x14ac:dyDescent="0.3">
      <c r="A14" s="7"/>
      <c r="B14" s="50">
        <v>3</v>
      </c>
      <c r="C14" s="317" t="s">
        <v>57</v>
      </c>
      <c r="D14" s="317"/>
      <c r="E14" s="317"/>
      <c r="F14" s="7"/>
      <c r="G14" s="7"/>
    </row>
    <row r="15" spans="1:7" ht="65.25" customHeight="1" x14ac:dyDescent="0.3">
      <c r="A15" s="7"/>
      <c r="B15" s="50"/>
      <c r="C15" s="392"/>
      <c r="D15" s="393"/>
      <c r="E15" s="394"/>
      <c r="F15" s="7"/>
      <c r="G15" s="7"/>
    </row>
    <row r="16" spans="1:7" x14ac:dyDescent="0.3">
      <c r="A16" s="7"/>
      <c r="B16" s="50"/>
      <c r="C16" s="11"/>
      <c r="D16" s="11"/>
      <c r="E16" s="11"/>
      <c r="F16" s="7"/>
      <c r="G16" s="7"/>
    </row>
    <row r="17" spans="1:7" x14ac:dyDescent="0.3">
      <c r="A17" s="7"/>
      <c r="B17" s="50">
        <v>4</v>
      </c>
      <c r="C17" s="317" t="s">
        <v>5</v>
      </c>
      <c r="D17" s="317"/>
      <c r="E17" s="317"/>
      <c r="F17" s="7"/>
      <c r="G17" s="7"/>
    </row>
    <row r="18" spans="1:7" x14ac:dyDescent="0.3">
      <c r="A18" s="7"/>
      <c r="B18" s="7"/>
      <c r="C18" s="20" t="s">
        <v>6</v>
      </c>
      <c r="D18" s="118"/>
      <c r="E18" s="7"/>
      <c r="F18" s="7"/>
      <c r="G18" s="7"/>
    </row>
    <row r="19" spans="1:7" ht="28.8" x14ac:dyDescent="0.3">
      <c r="A19" s="7"/>
      <c r="B19" s="7"/>
      <c r="C19" s="21" t="s">
        <v>9</v>
      </c>
      <c r="D19" s="118"/>
      <c r="E19" s="7"/>
      <c r="F19" s="7"/>
      <c r="G19" s="7"/>
    </row>
    <row r="20" spans="1:7" x14ac:dyDescent="0.3">
      <c r="A20" s="7"/>
      <c r="B20" s="7"/>
      <c r="C20" s="20" t="s">
        <v>7</v>
      </c>
      <c r="D20" s="118"/>
      <c r="E20" s="7"/>
      <c r="F20" s="7"/>
      <c r="G20" s="7"/>
    </row>
    <row r="21" spans="1:7" x14ac:dyDescent="0.3">
      <c r="A21" s="7"/>
      <c r="B21" s="7"/>
      <c r="C21" s="20" t="s">
        <v>20</v>
      </c>
      <c r="D21" s="118"/>
      <c r="E21" s="7"/>
      <c r="F21" s="7"/>
      <c r="G21" s="7"/>
    </row>
    <row r="22" spans="1:7" x14ac:dyDescent="0.3">
      <c r="A22" s="7"/>
      <c r="B22" s="7"/>
      <c r="C22" s="7"/>
      <c r="D22" s="7"/>
      <c r="E22" s="7"/>
      <c r="F22" s="7"/>
      <c r="G22" s="7"/>
    </row>
    <row r="23" spans="1:7" x14ac:dyDescent="0.3">
      <c r="A23" s="7"/>
      <c r="B23" s="7"/>
      <c r="C23" s="7"/>
      <c r="D23" s="7"/>
      <c r="E23" s="7"/>
      <c r="F23" s="7"/>
      <c r="G23" s="7"/>
    </row>
    <row r="24" spans="1:7" x14ac:dyDescent="0.3">
      <c r="A24" s="7"/>
      <c r="B24" s="55" t="s">
        <v>8</v>
      </c>
      <c r="C24" s="82"/>
      <c r="D24" s="82"/>
      <c r="E24" s="82"/>
      <c r="F24" s="100"/>
      <c r="G24" s="7"/>
    </row>
    <row r="25" spans="1:7" x14ac:dyDescent="0.3">
      <c r="A25" s="7"/>
      <c r="B25" s="58"/>
      <c r="C25" s="7"/>
      <c r="D25" s="7"/>
      <c r="E25" s="7"/>
      <c r="F25" s="75"/>
      <c r="G25" s="7"/>
    </row>
    <row r="26" spans="1:7" x14ac:dyDescent="0.3">
      <c r="A26" s="7"/>
      <c r="B26" s="56" t="s">
        <v>13</v>
      </c>
      <c r="C26" s="317" t="s">
        <v>162</v>
      </c>
      <c r="D26" s="317"/>
      <c r="E26" s="317"/>
      <c r="F26" s="75"/>
      <c r="G26" s="7"/>
    </row>
    <row r="27" spans="1:7" ht="60" customHeight="1" x14ac:dyDescent="0.3">
      <c r="A27" s="7"/>
      <c r="B27" s="57"/>
      <c r="C27" s="392"/>
      <c r="D27" s="393"/>
      <c r="E27" s="394"/>
      <c r="F27" s="75"/>
      <c r="G27" s="7"/>
    </row>
    <row r="28" spans="1:7" x14ac:dyDescent="0.3">
      <c r="A28" s="7"/>
      <c r="B28" s="57"/>
      <c r="C28" s="7"/>
      <c r="D28" s="7"/>
      <c r="E28" s="7"/>
      <c r="F28" s="75"/>
      <c r="G28" s="7"/>
    </row>
    <row r="29" spans="1:7" ht="45" customHeight="1" x14ac:dyDescent="0.3">
      <c r="A29" s="7"/>
      <c r="B29" s="56" t="s">
        <v>47</v>
      </c>
      <c r="C29" s="317" t="s">
        <v>467</v>
      </c>
      <c r="D29" s="317"/>
      <c r="E29" s="317"/>
      <c r="F29" s="75"/>
      <c r="G29" s="7"/>
    </row>
    <row r="30" spans="1:7" x14ac:dyDescent="0.3">
      <c r="A30" s="7"/>
      <c r="B30" s="57"/>
      <c r="C30" s="7"/>
      <c r="D30" s="355"/>
      <c r="E30" s="355"/>
      <c r="F30" s="75"/>
      <c r="G30" s="7"/>
    </row>
    <row r="31" spans="1:7" ht="32.25" customHeight="1" x14ac:dyDescent="0.3">
      <c r="A31" s="7"/>
      <c r="B31" s="56" t="s">
        <v>76</v>
      </c>
      <c r="C31" s="395" t="s">
        <v>163</v>
      </c>
      <c r="D31" s="395"/>
      <c r="E31" s="395"/>
      <c r="F31" s="75"/>
      <c r="G31" s="7"/>
    </row>
    <row r="32" spans="1:7" ht="56.25" customHeight="1" x14ac:dyDescent="0.3">
      <c r="A32" s="7"/>
      <c r="B32" s="57"/>
      <c r="C32" s="392"/>
      <c r="D32" s="393"/>
      <c r="E32" s="394"/>
      <c r="F32" s="75"/>
      <c r="G32" s="7"/>
    </row>
    <row r="33" spans="1:7" ht="15" thickBot="1" x14ac:dyDescent="0.35">
      <c r="A33" s="7"/>
      <c r="B33" s="57"/>
      <c r="C33" s="7"/>
      <c r="D33" s="7"/>
      <c r="E33" s="7"/>
      <c r="F33" s="75"/>
      <c r="G33" s="7"/>
    </row>
    <row r="34" spans="1:7" ht="15.6" thickTop="1" thickBot="1" x14ac:dyDescent="0.35">
      <c r="A34" s="7"/>
      <c r="B34" s="57"/>
      <c r="C34" s="7"/>
      <c r="D34" s="140" t="s">
        <v>98</v>
      </c>
      <c r="E34" s="155">
        <f>'8 Software Benefit'!E34</f>
        <v>0</v>
      </c>
      <c r="F34" s="75"/>
      <c r="G34" s="7"/>
    </row>
    <row r="35" spans="1:7" ht="15" thickTop="1" x14ac:dyDescent="0.3">
      <c r="A35" s="7"/>
      <c r="B35" s="59"/>
      <c r="C35" s="132"/>
      <c r="D35" s="132"/>
      <c r="E35" s="132"/>
      <c r="F35" s="99"/>
      <c r="G35" s="7"/>
    </row>
    <row r="36" spans="1:7" x14ac:dyDescent="0.3">
      <c r="A36" s="7"/>
      <c r="B36" s="7"/>
      <c r="C36" s="7"/>
      <c r="D36" s="7"/>
      <c r="E36" s="7"/>
      <c r="F36" s="7"/>
      <c r="G36" s="7"/>
    </row>
    <row r="37" spans="1:7" x14ac:dyDescent="0.3">
      <c r="A37" s="7"/>
      <c r="B37" s="55" t="s">
        <v>14</v>
      </c>
      <c r="C37" s="82"/>
      <c r="D37" s="82"/>
      <c r="E37" s="82"/>
      <c r="F37" s="100"/>
      <c r="G37" s="7"/>
    </row>
    <row r="38" spans="1:7" x14ac:dyDescent="0.3">
      <c r="A38" s="7"/>
      <c r="B38" s="58"/>
      <c r="C38" s="7"/>
      <c r="D38" s="7"/>
      <c r="E38" s="7"/>
      <c r="F38" s="75"/>
      <c r="G38" s="7"/>
    </row>
    <row r="39" spans="1:7" x14ac:dyDescent="0.3">
      <c r="A39" s="7"/>
      <c r="B39" s="56" t="s">
        <v>15</v>
      </c>
      <c r="C39" s="317" t="s">
        <v>165</v>
      </c>
      <c r="D39" s="317"/>
      <c r="E39" s="317"/>
      <c r="F39" s="75"/>
      <c r="G39" s="7"/>
    </row>
    <row r="40" spans="1:7" ht="44.25" customHeight="1" x14ac:dyDescent="0.3">
      <c r="A40" s="7"/>
      <c r="B40" s="57"/>
      <c r="C40" s="392"/>
      <c r="D40" s="393"/>
      <c r="E40" s="394"/>
      <c r="F40" s="75"/>
      <c r="G40" s="7"/>
    </row>
    <row r="41" spans="1:7" x14ac:dyDescent="0.3">
      <c r="A41" s="7"/>
      <c r="B41" s="57"/>
      <c r="C41" s="7"/>
      <c r="D41" s="7"/>
      <c r="E41" s="7"/>
      <c r="F41" s="75"/>
      <c r="G41" s="7"/>
    </row>
    <row r="42" spans="1:7" ht="44.25" customHeight="1" x14ac:dyDescent="0.3">
      <c r="A42" s="7"/>
      <c r="B42" s="56" t="s">
        <v>97</v>
      </c>
      <c r="C42" s="317" t="s">
        <v>468</v>
      </c>
      <c r="D42" s="317"/>
      <c r="E42" s="317"/>
      <c r="F42" s="75"/>
      <c r="G42" s="7"/>
    </row>
    <row r="43" spans="1:7" x14ac:dyDescent="0.3">
      <c r="A43" s="7"/>
      <c r="B43" s="57"/>
      <c r="C43" s="7"/>
      <c r="D43" s="355"/>
      <c r="E43" s="355"/>
      <c r="F43" s="75"/>
      <c r="G43" s="7"/>
    </row>
    <row r="44" spans="1:7" x14ac:dyDescent="0.3">
      <c r="A44" s="7"/>
      <c r="B44" s="56" t="s">
        <v>99</v>
      </c>
      <c r="C44" s="395" t="s">
        <v>167</v>
      </c>
      <c r="D44" s="395"/>
      <c r="E44" s="395"/>
      <c r="F44" s="75"/>
      <c r="G44" s="7"/>
    </row>
    <row r="45" spans="1:7" ht="62.25" customHeight="1" x14ac:dyDescent="0.3">
      <c r="A45" s="7"/>
      <c r="B45" s="57"/>
      <c r="C45" s="392"/>
      <c r="D45" s="393"/>
      <c r="E45" s="394"/>
      <c r="F45" s="75"/>
      <c r="G45" s="7"/>
    </row>
    <row r="46" spans="1:7" ht="15" thickBot="1" x14ac:dyDescent="0.35">
      <c r="A46" s="7"/>
      <c r="B46" s="57"/>
      <c r="C46" s="7"/>
      <c r="D46" s="7"/>
      <c r="E46" s="7"/>
      <c r="F46" s="75"/>
      <c r="G46" s="7"/>
    </row>
    <row r="47" spans="1:7" ht="15.6" thickTop="1" thickBot="1" x14ac:dyDescent="0.35">
      <c r="A47" s="7"/>
      <c r="B47" s="57"/>
      <c r="C47" s="7"/>
      <c r="D47" s="140" t="s">
        <v>109</v>
      </c>
      <c r="E47" s="155">
        <f>'8 Software Benefit'!E47</f>
        <v>0</v>
      </c>
      <c r="F47" s="75"/>
      <c r="G47" s="7"/>
    </row>
    <row r="48" spans="1:7" ht="15" thickTop="1" x14ac:dyDescent="0.3">
      <c r="A48" s="7"/>
      <c r="B48" s="59"/>
      <c r="C48" s="132"/>
      <c r="D48" s="132"/>
      <c r="E48" s="132"/>
      <c r="F48" s="99"/>
      <c r="G48" s="7"/>
    </row>
    <row r="49" spans="1:8" x14ac:dyDescent="0.3">
      <c r="A49" s="7"/>
      <c r="B49" s="7"/>
      <c r="C49" s="7"/>
      <c r="D49" s="7"/>
      <c r="E49" s="7"/>
      <c r="F49" s="7"/>
      <c r="G49" s="7"/>
    </row>
    <row r="50" spans="1:8" x14ac:dyDescent="0.3">
      <c r="A50" s="7"/>
      <c r="B50" s="55" t="s">
        <v>24</v>
      </c>
      <c r="C50" s="82"/>
      <c r="D50" s="82"/>
      <c r="E50" s="82"/>
      <c r="F50" s="100"/>
      <c r="G50" s="7"/>
    </row>
    <row r="51" spans="1:8" x14ac:dyDescent="0.3">
      <c r="A51" s="7"/>
      <c r="B51" s="58"/>
      <c r="C51" s="7"/>
      <c r="D51" s="7"/>
      <c r="E51" s="7"/>
      <c r="F51" s="75"/>
      <c r="G51" s="7"/>
    </row>
    <row r="52" spans="1:8" x14ac:dyDescent="0.3">
      <c r="A52" s="7"/>
      <c r="B52" s="56" t="s">
        <v>25</v>
      </c>
      <c r="C52" s="317" t="s">
        <v>168</v>
      </c>
      <c r="D52" s="317"/>
      <c r="E52" s="317"/>
      <c r="F52" s="75"/>
      <c r="G52" s="7"/>
    </row>
    <row r="53" spans="1:8" ht="45" customHeight="1" x14ac:dyDescent="0.3">
      <c r="A53" s="7"/>
      <c r="B53" s="57"/>
      <c r="C53" s="392" t="s">
        <v>236</v>
      </c>
      <c r="D53" s="393"/>
      <c r="E53" s="394"/>
      <c r="F53" s="75"/>
      <c r="G53" s="7"/>
    </row>
    <row r="54" spans="1:8" x14ac:dyDescent="0.3">
      <c r="A54" s="7"/>
      <c r="B54" s="57"/>
      <c r="C54" s="7"/>
      <c r="D54" s="7"/>
      <c r="E54" s="7"/>
      <c r="F54" s="75"/>
      <c r="G54" s="7"/>
    </row>
    <row r="55" spans="1:8" ht="30" customHeight="1" x14ac:dyDescent="0.3">
      <c r="A55" s="7"/>
      <c r="B55" s="56" t="s">
        <v>110</v>
      </c>
      <c r="C55" s="360" t="s">
        <v>169</v>
      </c>
      <c r="D55" s="360"/>
      <c r="E55" s="360"/>
      <c r="F55" s="75"/>
      <c r="G55" s="7"/>
    </row>
    <row r="56" spans="1:8" x14ac:dyDescent="0.3">
      <c r="A56" s="7"/>
      <c r="B56" s="56"/>
      <c r="C56" s="107"/>
      <c r="D56" s="13"/>
      <c r="E56" s="12" t="s">
        <v>172</v>
      </c>
      <c r="F56" s="75"/>
      <c r="G56" s="7"/>
      <c r="H56" s="222"/>
    </row>
    <row r="57" spans="1:8" x14ac:dyDescent="0.3">
      <c r="A57" s="7"/>
      <c r="B57" s="57"/>
      <c r="C57" s="15"/>
      <c r="D57" s="13"/>
      <c r="E57" s="12" t="s">
        <v>170</v>
      </c>
      <c r="F57" s="75"/>
      <c r="G57" s="7"/>
      <c r="H57" s="219"/>
    </row>
    <row r="58" spans="1:8" x14ac:dyDescent="0.3">
      <c r="A58" s="7"/>
      <c r="B58" s="57"/>
      <c r="C58" s="15"/>
      <c r="D58" s="13"/>
      <c r="E58" s="12" t="s">
        <v>176</v>
      </c>
      <c r="F58" s="75"/>
      <c r="G58" s="7"/>
    </row>
    <row r="59" spans="1:8" x14ac:dyDescent="0.3">
      <c r="A59" s="7"/>
      <c r="B59" s="57"/>
      <c r="C59" s="15"/>
      <c r="D59" s="13"/>
      <c r="E59" s="12" t="s">
        <v>484</v>
      </c>
      <c r="F59" s="75"/>
      <c r="G59" s="7"/>
    </row>
    <row r="60" spans="1:8" ht="15" thickBot="1" x14ac:dyDescent="0.35">
      <c r="A60" s="7"/>
      <c r="B60" s="57"/>
      <c r="C60" s="15"/>
      <c r="D60" s="12"/>
      <c r="E60" s="12"/>
      <c r="F60" s="75"/>
      <c r="G60" s="7"/>
    </row>
    <row r="61" spans="1:8" ht="15.6" thickTop="1" thickBot="1" x14ac:dyDescent="0.35">
      <c r="A61" s="7"/>
      <c r="B61" s="57"/>
      <c r="C61" s="7"/>
      <c r="D61" s="140" t="s">
        <v>133</v>
      </c>
      <c r="E61" s="155">
        <f>'8 Software Benefit'!E67</f>
        <v>0</v>
      </c>
      <c r="F61" s="75"/>
      <c r="G61" s="7"/>
    </row>
    <row r="62" spans="1:8" ht="15" thickTop="1" x14ac:dyDescent="0.3">
      <c r="A62" s="7"/>
      <c r="B62" s="59"/>
      <c r="C62" s="132"/>
      <c r="D62" s="132"/>
      <c r="E62" s="132"/>
      <c r="F62" s="99"/>
      <c r="G62" s="7"/>
    </row>
    <row r="63" spans="1:8" x14ac:dyDescent="0.3">
      <c r="A63" s="7"/>
      <c r="B63" s="7"/>
      <c r="C63" s="7"/>
      <c r="D63" s="7"/>
      <c r="E63" s="7"/>
      <c r="F63" s="7"/>
      <c r="G63" s="7"/>
    </row>
    <row r="64" spans="1:8" x14ac:dyDescent="0.3">
      <c r="A64" s="7"/>
      <c r="B64" s="55" t="s">
        <v>65</v>
      </c>
      <c r="C64" s="82"/>
      <c r="D64" s="82"/>
      <c r="E64" s="82"/>
      <c r="F64" s="100"/>
      <c r="G64" s="7"/>
    </row>
    <row r="65" spans="1:7" x14ac:dyDescent="0.3">
      <c r="A65" s="7"/>
      <c r="B65" s="58"/>
      <c r="C65" s="7"/>
      <c r="D65" s="7"/>
      <c r="E65" s="7"/>
      <c r="F65" s="75"/>
      <c r="G65" s="7"/>
    </row>
    <row r="66" spans="1:7" x14ac:dyDescent="0.3">
      <c r="A66" s="7"/>
      <c r="B66" s="56" t="s">
        <v>49</v>
      </c>
      <c r="C66" s="317" t="s">
        <v>202</v>
      </c>
      <c r="D66" s="317"/>
      <c r="E66" s="317"/>
      <c r="F66" s="75"/>
      <c r="G66" s="7"/>
    </row>
    <row r="67" spans="1:7" ht="45.75" customHeight="1" x14ac:dyDescent="0.3">
      <c r="A67" s="7"/>
      <c r="B67" s="57"/>
      <c r="C67" s="392"/>
      <c r="D67" s="393"/>
      <c r="E67" s="394"/>
      <c r="F67" s="75"/>
      <c r="G67" s="7"/>
    </row>
    <row r="68" spans="1:7" x14ac:dyDescent="0.3">
      <c r="A68" s="7"/>
      <c r="B68" s="57"/>
      <c r="C68" s="7"/>
      <c r="D68" s="7"/>
      <c r="E68" s="7"/>
      <c r="F68" s="75"/>
      <c r="G68" s="7"/>
    </row>
    <row r="69" spans="1:7" ht="42" customHeight="1" x14ac:dyDescent="0.3">
      <c r="A69" s="7"/>
      <c r="B69" s="56" t="s">
        <v>118</v>
      </c>
      <c r="C69" s="317" t="s">
        <v>469</v>
      </c>
      <c r="D69" s="317"/>
      <c r="E69" s="317"/>
      <c r="F69" s="75"/>
      <c r="G69" s="7"/>
    </row>
    <row r="70" spans="1:7" x14ac:dyDescent="0.3">
      <c r="A70" s="7"/>
      <c r="B70" s="57"/>
      <c r="C70" s="7"/>
      <c r="D70" s="355"/>
      <c r="E70" s="355"/>
      <c r="F70" s="75"/>
      <c r="G70" s="7"/>
    </row>
    <row r="71" spans="1:7" ht="37.5" customHeight="1" x14ac:dyDescent="0.3">
      <c r="A71" s="7"/>
      <c r="B71" s="56" t="s">
        <v>119</v>
      </c>
      <c r="C71" s="395" t="s">
        <v>178</v>
      </c>
      <c r="D71" s="395"/>
      <c r="E71" s="395"/>
      <c r="F71" s="75"/>
      <c r="G71" s="7"/>
    </row>
    <row r="72" spans="1:7" ht="46.5" customHeight="1" x14ac:dyDescent="0.3">
      <c r="A72" s="7"/>
      <c r="B72" s="57"/>
      <c r="C72" s="392"/>
      <c r="D72" s="393"/>
      <c r="E72" s="394"/>
      <c r="F72" s="75"/>
      <c r="G72" s="7"/>
    </row>
    <row r="73" spans="1:7" ht="15" thickBot="1" x14ac:dyDescent="0.35">
      <c r="A73" s="7"/>
      <c r="B73" s="57"/>
      <c r="C73" s="7"/>
      <c r="D73" s="7"/>
      <c r="E73" s="7"/>
      <c r="F73" s="75"/>
      <c r="G73" s="7"/>
    </row>
    <row r="74" spans="1:7" ht="15.6" thickTop="1" thickBot="1" x14ac:dyDescent="0.35">
      <c r="A74" s="7"/>
      <c r="B74" s="57"/>
      <c r="C74" s="7"/>
      <c r="D74" s="140" t="s">
        <v>131</v>
      </c>
      <c r="E74" s="155">
        <f>'8 Software Benefit'!E80</f>
        <v>0</v>
      </c>
      <c r="F74" s="75"/>
      <c r="G74" s="7"/>
    </row>
    <row r="75" spans="1:7" ht="15" thickTop="1" x14ac:dyDescent="0.3">
      <c r="A75" s="7"/>
      <c r="B75" s="59"/>
      <c r="C75" s="132"/>
      <c r="D75" s="132"/>
      <c r="E75" s="132"/>
      <c r="F75" s="99"/>
      <c r="G75" s="7"/>
    </row>
    <row r="76" spans="1:7" ht="15" thickBot="1" x14ac:dyDescent="0.35">
      <c r="A76" s="7"/>
      <c r="B76" s="7"/>
      <c r="C76" s="7"/>
      <c r="D76" s="7"/>
      <c r="E76" s="7"/>
      <c r="F76" s="7"/>
      <c r="G76" s="7"/>
    </row>
    <row r="77" spans="1:7" ht="19.2" thickTop="1" thickBot="1" x14ac:dyDescent="0.35">
      <c r="C77" s="390" t="s">
        <v>132</v>
      </c>
      <c r="D77" s="391"/>
      <c r="E77" s="177">
        <f>'8 Software Benefit'!E83</f>
        <v>0</v>
      </c>
    </row>
    <row r="78" spans="1:7" ht="19.2" thickTop="1" thickBot="1" x14ac:dyDescent="0.35">
      <c r="D78" s="94" t="s">
        <v>330</v>
      </c>
      <c r="E78" s="96" t="e">
        <f>E77/D10</f>
        <v>#DIV/0!</v>
      </c>
    </row>
    <row r="79" spans="1:7" ht="15" thickTop="1" x14ac:dyDescent="0.3"/>
  </sheetData>
  <mergeCells count="30">
    <mergeCell ref="C69:E69"/>
    <mergeCell ref="D70:E70"/>
    <mergeCell ref="C71:E71"/>
    <mergeCell ref="C72:E72"/>
    <mergeCell ref="C66:E66"/>
    <mergeCell ref="C67:E67"/>
    <mergeCell ref="C26:E26"/>
    <mergeCell ref="C27:E27"/>
    <mergeCell ref="C29:E29"/>
    <mergeCell ref="D30:E30"/>
    <mergeCell ref="D5:E5"/>
    <mergeCell ref="D6:E6"/>
    <mergeCell ref="D7:E7"/>
    <mergeCell ref="D10:E10"/>
    <mergeCell ref="C77:D77"/>
    <mergeCell ref="D12:E12"/>
    <mergeCell ref="C14:E14"/>
    <mergeCell ref="C15:E15"/>
    <mergeCell ref="C17:E17"/>
    <mergeCell ref="C31:E31"/>
    <mergeCell ref="C32:E32"/>
    <mergeCell ref="C39:E39"/>
    <mergeCell ref="C40:E40"/>
    <mergeCell ref="C42:E42"/>
    <mergeCell ref="D43:E43"/>
    <mergeCell ref="C44:E44"/>
    <mergeCell ref="C45:E45"/>
    <mergeCell ref="C52:E52"/>
    <mergeCell ref="C53:E53"/>
    <mergeCell ref="C55:E55"/>
  </mergeCells>
  <conditionalFormatting sqref="B24:F35">
    <cfRule type="expression" dxfId="179" priority="9">
      <formula>$D$18="NO"</formula>
    </cfRule>
  </conditionalFormatting>
  <conditionalFormatting sqref="B50:F62">
    <cfRule type="expression" dxfId="178" priority="5">
      <formula>$D$20="NO"</formula>
    </cfRule>
  </conditionalFormatting>
  <conditionalFormatting sqref="B64:F75">
    <cfRule type="expression" dxfId="177" priority="4">
      <formula>$D$19="NO"</formula>
    </cfRule>
  </conditionalFormatting>
  <conditionalFormatting sqref="B37:F48">
    <cfRule type="expression" dxfId="176" priority="2">
      <formula>$D$19="NO"</formula>
    </cfRule>
  </conditionalFormatting>
  <dataValidations count="3">
    <dataValidation showInputMessage="1" showErrorMessage="1" promptTitle="ITS Device Project Purpose" sqref="D13:E13"/>
    <dataValidation type="whole" allowBlank="1" showInputMessage="1" showErrorMessage="1" sqref="D10 D30 D43 D56:D60 D70">
      <formula1>0</formula1>
      <formula2>10000000</formula2>
    </dataValidation>
    <dataValidation type="list" showInputMessage="1" showErrorMessage="1" sqref="D18:D21">
      <formula1>YES.NO</formula1>
    </dataValidation>
  </dataValidations>
  <pageMargins left="0.7" right="0.7" top="0.75" bottom="0.75" header="0.3" footer="0.3"/>
  <pageSetup scale="87" fitToHeight="0" orientation="portrait" r:id="rId1"/>
  <rowBreaks count="2" manualBreakCount="2">
    <brk id="35" max="6" man="1"/>
    <brk id="62" max="6" man="1"/>
  </rowBreaks>
  <ignoredErrors>
    <ignoredError sqref="D5:E7" unlockedFormula="1"/>
  </ignoredErrors>
  <drawing r:id="rId2"/>
  <extLst>
    <ext xmlns:x14="http://schemas.microsoft.com/office/spreadsheetml/2009/9/main" uri="{CCE6A557-97BC-4b89-ADB6-D9C93CAAB3DF}">
      <x14:dataValidations xmlns:xm="http://schemas.microsoft.com/office/excel/2006/main" count="1">
        <x14:dataValidation type="list" showInputMessage="1" showErrorMessage="1" promptTitle="Software Upgrade">
          <x14:formula1>
            <xm:f>'drop-downs'!$U$2:$U$4</xm:f>
          </x14:formula1>
          <xm:sqref>D12:E12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B1:H84"/>
  <sheetViews>
    <sheetView topLeftCell="A46" workbookViewId="0">
      <selection activeCell="F61" sqref="F61"/>
    </sheetView>
  </sheetViews>
  <sheetFormatPr defaultColWidth="8.88671875" defaultRowHeight="14.4" x14ac:dyDescent="0.3"/>
  <cols>
    <col min="1" max="1" width="2" style="4" customWidth="1"/>
    <col min="2" max="2" width="12.6640625" style="4" customWidth="1"/>
    <col min="3" max="3" width="44.88671875" style="4" customWidth="1"/>
    <col min="4" max="4" width="11.44140625" style="4" customWidth="1"/>
    <col min="5" max="5" width="29" style="4" customWidth="1"/>
    <col min="6" max="6" width="1.44140625" style="4" customWidth="1"/>
    <col min="7" max="7" width="2" style="4" customWidth="1"/>
    <col min="8" max="8" width="36.109375" style="4" customWidth="1"/>
    <col min="9" max="16384" width="8.88671875" style="4"/>
  </cols>
  <sheetData>
    <row r="1" spans="2:5" x14ac:dyDescent="0.3">
      <c r="C1" s="129" t="s">
        <v>239</v>
      </c>
    </row>
    <row r="2" spans="2:5" ht="25.8" x14ac:dyDescent="0.3">
      <c r="C2" s="404" t="s">
        <v>56</v>
      </c>
      <c r="D2" s="404"/>
      <c r="E2" s="404"/>
    </row>
    <row r="5" spans="2:5" x14ac:dyDescent="0.3">
      <c r="C5" s="6" t="s">
        <v>2</v>
      </c>
      <c r="D5" s="363" t="str">
        <f>'8 Software'!D5:E5</f>
        <v>-</v>
      </c>
      <c r="E5" s="363"/>
    </row>
    <row r="6" spans="2:5" x14ac:dyDescent="0.3">
      <c r="C6" s="6" t="s">
        <v>0</v>
      </c>
      <c r="D6" s="363" t="str">
        <f>'8 Software'!D6:E6</f>
        <v>-</v>
      </c>
      <c r="E6" s="363"/>
    </row>
    <row r="7" spans="2:5" x14ac:dyDescent="0.3">
      <c r="C7" s="20" t="s">
        <v>160</v>
      </c>
      <c r="D7" s="363" t="str">
        <f>'8 Software'!D7:E7</f>
        <v>-</v>
      </c>
      <c r="E7" s="363"/>
    </row>
    <row r="8" spans="2:5" x14ac:dyDescent="0.3">
      <c r="D8" s="43"/>
      <c r="E8" s="42"/>
    </row>
    <row r="9" spans="2:5" x14ac:dyDescent="0.3">
      <c r="D9" s="43"/>
      <c r="E9" s="42"/>
    </row>
    <row r="10" spans="2:5" x14ac:dyDescent="0.3">
      <c r="B10" s="50">
        <v>1</v>
      </c>
      <c r="C10" s="19" t="s">
        <v>233</v>
      </c>
      <c r="D10" s="374">
        <f>'8 Software'!D10:E10</f>
        <v>0</v>
      </c>
      <c r="E10" s="374"/>
    </row>
    <row r="11" spans="2:5" ht="17.25" customHeight="1" x14ac:dyDescent="0.3">
      <c r="B11" s="54"/>
      <c r="C11" s="2"/>
      <c r="D11" s="41"/>
      <c r="E11" s="42"/>
    </row>
    <row r="12" spans="2:5" x14ac:dyDescent="0.3">
      <c r="B12" s="54">
        <v>2</v>
      </c>
      <c r="C12" s="112" t="s">
        <v>16</v>
      </c>
      <c r="D12" s="372">
        <f>'8 Software'!D12:E12</f>
        <v>0</v>
      </c>
      <c r="E12" s="372"/>
    </row>
    <row r="13" spans="2:5" x14ac:dyDescent="0.3">
      <c r="B13" s="54"/>
      <c r="C13" s="112"/>
      <c r="D13" s="111"/>
      <c r="E13" s="111"/>
    </row>
    <row r="14" spans="2:5" x14ac:dyDescent="0.3">
      <c r="B14" s="54">
        <v>3</v>
      </c>
      <c r="C14" s="379" t="s">
        <v>57</v>
      </c>
      <c r="D14" s="379"/>
      <c r="E14" s="379"/>
    </row>
    <row r="15" spans="2:5" ht="65.25" customHeight="1" x14ac:dyDescent="0.3">
      <c r="B15" s="54"/>
      <c r="C15" s="399">
        <f>'8 Software'!C15:E15</f>
        <v>0</v>
      </c>
      <c r="D15" s="400"/>
      <c r="E15" s="401"/>
    </row>
    <row r="16" spans="2:5" x14ac:dyDescent="0.3">
      <c r="B16" s="54"/>
      <c r="C16" s="11"/>
      <c r="D16" s="11"/>
      <c r="E16" s="11"/>
    </row>
    <row r="17" spans="2:6" x14ac:dyDescent="0.3">
      <c r="B17" s="54">
        <v>4</v>
      </c>
      <c r="C17" s="402" t="s">
        <v>5</v>
      </c>
      <c r="D17" s="402"/>
      <c r="E17" s="402"/>
    </row>
    <row r="18" spans="2:6" x14ac:dyDescent="0.3">
      <c r="C18" s="43" t="s">
        <v>6</v>
      </c>
      <c r="D18" s="52">
        <f>'8 Software'!D18</f>
        <v>0</v>
      </c>
      <c r="E18" s="42"/>
    </row>
    <row r="19" spans="2:6" ht="28.8" x14ac:dyDescent="0.3">
      <c r="C19" s="44" t="s">
        <v>9</v>
      </c>
      <c r="D19" s="52">
        <f>'8 Software'!D19</f>
        <v>0</v>
      </c>
      <c r="E19" s="42"/>
    </row>
    <row r="20" spans="2:6" x14ac:dyDescent="0.3">
      <c r="C20" s="43" t="s">
        <v>7</v>
      </c>
      <c r="D20" s="52">
        <f>'8 Software'!D20</f>
        <v>0</v>
      </c>
      <c r="E20" s="42"/>
    </row>
    <row r="21" spans="2:6" x14ac:dyDescent="0.3">
      <c r="C21" s="43" t="s">
        <v>20</v>
      </c>
      <c r="D21" s="52">
        <f>'8 Software'!D21</f>
        <v>0</v>
      </c>
      <c r="E21" s="42"/>
    </row>
    <row r="24" spans="2:6" x14ac:dyDescent="0.3">
      <c r="B24" s="55" t="s">
        <v>8</v>
      </c>
      <c r="C24" s="82"/>
      <c r="D24" s="82"/>
      <c r="E24" s="82"/>
      <c r="F24" s="100"/>
    </row>
    <row r="25" spans="2:6" x14ac:dyDescent="0.3">
      <c r="B25" s="58"/>
      <c r="C25" s="7"/>
      <c r="D25" s="7"/>
      <c r="E25" s="7"/>
      <c r="F25" s="75"/>
    </row>
    <row r="26" spans="2:6" x14ac:dyDescent="0.3">
      <c r="B26" s="56" t="s">
        <v>13</v>
      </c>
      <c r="C26" s="379" t="s">
        <v>162</v>
      </c>
      <c r="D26" s="379"/>
      <c r="E26" s="379"/>
      <c r="F26" s="75"/>
    </row>
    <row r="27" spans="2:6" ht="60" customHeight="1" x14ac:dyDescent="0.3">
      <c r="B27" s="57"/>
      <c r="C27" s="396">
        <f>'8 Software'!C27:E27</f>
        <v>0</v>
      </c>
      <c r="D27" s="397"/>
      <c r="E27" s="398"/>
      <c r="F27" s="75"/>
    </row>
    <row r="28" spans="2:6" x14ac:dyDescent="0.3">
      <c r="B28" s="57"/>
      <c r="C28" s="15"/>
      <c r="D28" s="15"/>
      <c r="E28" s="15"/>
      <c r="F28" s="75"/>
    </row>
    <row r="29" spans="2:6" ht="30.75" customHeight="1" x14ac:dyDescent="0.3">
      <c r="B29" s="56" t="s">
        <v>47</v>
      </c>
      <c r="C29" s="360" t="s">
        <v>164</v>
      </c>
      <c r="D29" s="360"/>
      <c r="E29" s="360"/>
      <c r="F29" s="75"/>
    </row>
    <row r="30" spans="2:6" x14ac:dyDescent="0.3">
      <c r="B30" s="57"/>
      <c r="C30" s="15"/>
      <c r="D30" s="374">
        <f>'8 Software'!D30:E30</f>
        <v>0</v>
      </c>
      <c r="E30" s="374"/>
      <c r="F30" s="75"/>
    </row>
    <row r="31" spans="2:6" ht="32.25" customHeight="1" x14ac:dyDescent="0.3">
      <c r="B31" s="56" t="s">
        <v>76</v>
      </c>
      <c r="C31" s="403" t="s">
        <v>163</v>
      </c>
      <c r="D31" s="403"/>
      <c r="E31" s="403"/>
      <c r="F31" s="75"/>
    </row>
    <row r="32" spans="2:6" ht="56.25" customHeight="1" x14ac:dyDescent="0.3">
      <c r="B32" s="57"/>
      <c r="C32" s="396">
        <f>'8 Software'!C32:E32</f>
        <v>0</v>
      </c>
      <c r="D32" s="397"/>
      <c r="E32" s="398"/>
      <c r="F32" s="75"/>
    </row>
    <row r="33" spans="2:6" ht="15" thickBot="1" x14ac:dyDescent="0.35">
      <c r="B33" s="57"/>
      <c r="C33" s="7"/>
      <c r="D33" s="7"/>
      <c r="E33" s="7"/>
      <c r="F33" s="75"/>
    </row>
    <row r="34" spans="2:6" ht="15.6" thickTop="1" thickBot="1" x14ac:dyDescent="0.35">
      <c r="B34" s="57"/>
      <c r="C34" s="7"/>
      <c r="D34" s="140" t="s">
        <v>98</v>
      </c>
      <c r="E34" s="155">
        <f>IF(D18="YES",D30,0)</f>
        <v>0</v>
      </c>
      <c r="F34" s="75"/>
    </row>
    <row r="35" spans="2:6" ht="15" thickTop="1" x14ac:dyDescent="0.3">
      <c r="B35" s="59"/>
      <c r="C35" s="132"/>
      <c r="D35" s="132"/>
      <c r="E35" s="132"/>
      <c r="F35" s="99"/>
    </row>
    <row r="37" spans="2:6" x14ac:dyDescent="0.3">
      <c r="B37" s="55" t="s">
        <v>14</v>
      </c>
      <c r="C37" s="82"/>
      <c r="D37" s="82"/>
      <c r="E37" s="82"/>
      <c r="F37" s="100"/>
    </row>
    <row r="38" spans="2:6" x14ac:dyDescent="0.3">
      <c r="B38" s="58"/>
      <c r="C38" s="7"/>
      <c r="D38" s="7"/>
      <c r="E38" s="7"/>
      <c r="F38" s="75"/>
    </row>
    <row r="39" spans="2:6" x14ac:dyDescent="0.3">
      <c r="B39" s="56" t="s">
        <v>15</v>
      </c>
      <c r="C39" s="317" t="s">
        <v>165</v>
      </c>
      <c r="D39" s="317"/>
      <c r="E39" s="317"/>
      <c r="F39" s="75"/>
    </row>
    <row r="40" spans="2:6" ht="44.25" customHeight="1" x14ac:dyDescent="0.3">
      <c r="B40" s="57"/>
      <c r="C40" s="396">
        <f>'8 Software'!C40:E40</f>
        <v>0</v>
      </c>
      <c r="D40" s="397"/>
      <c r="E40" s="398"/>
      <c r="F40" s="75"/>
    </row>
    <row r="41" spans="2:6" x14ac:dyDescent="0.3">
      <c r="B41" s="57"/>
      <c r="C41" s="15"/>
      <c r="D41" s="15"/>
      <c r="E41" s="15"/>
      <c r="F41" s="75"/>
    </row>
    <row r="42" spans="2:6" x14ac:dyDescent="0.3">
      <c r="B42" s="56" t="s">
        <v>97</v>
      </c>
      <c r="C42" s="360" t="s">
        <v>166</v>
      </c>
      <c r="D42" s="360"/>
      <c r="E42" s="360"/>
      <c r="F42" s="75"/>
    </row>
    <row r="43" spans="2:6" x14ac:dyDescent="0.3">
      <c r="B43" s="57"/>
      <c r="C43" s="15"/>
      <c r="D43" s="374">
        <f>'8 Software'!D43:E43</f>
        <v>0</v>
      </c>
      <c r="E43" s="374"/>
      <c r="F43" s="75"/>
    </row>
    <row r="44" spans="2:6" x14ac:dyDescent="0.3">
      <c r="B44" s="56" t="s">
        <v>99</v>
      </c>
      <c r="C44" s="403" t="s">
        <v>167</v>
      </c>
      <c r="D44" s="403"/>
      <c r="E44" s="403"/>
      <c r="F44" s="75"/>
    </row>
    <row r="45" spans="2:6" ht="62.25" customHeight="1" x14ac:dyDescent="0.3">
      <c r="B45" s="57"/>
      <c r="C45" s="396">
        <f>'8 Software'!C45:E45</f>
        <v>0</v>
      </c>
      <c r="D45" s="397"/>
      <c r="E45" s="398"/>
      <c r="F45" s="75"/>
    </row>
    <row r="46" spans="2:6" ht="15" thickBot="1" x14ac:dyDescent="0.35">
      <c r="B46" s="57"/>
      <c r="C46" s="7"/>
      <c r="D46" s="7"/>
      <c r="E46" s="7"/>
      <c r="F46" s="75"/>
    </row>
    <row r="47" spans="2:6" ht="15.6" thickTop="1" thickBot="1" x14ac:dyDescent="0.35">
      <c r="B47" s="57"/>
      <c r="C47" s="7"/>
      <c r="D47" s="140" t="s">
        <v>109</v>
      </c>
      <c r="E47" s="155">
        <f>IF(D19="YES",D43,0)</f>
        <v>0</v>
      </c>
      <c r="F47" s="75"/>
    </row>
    <row r="48" spans="2:6" ht="15" thickTop="1" x14ac:dyDescent="0.3">
      <c r="B48" s="59"/>
      <c r="C48" s="132"/>
      <c r="D48" s="132"/>
      <c r="E48" s="132"/>
      <c r="F48" s="99"/>
    </row>
    <row r="50" spans="2:8" x14ac:dyDescent="0.3">
      <c r="B50" s="55" t="s">
        <v>24</v>
      </c>
      <c r="C50" s="82"/>
      <c r="D50" s="82"/>
      <c r="E50" s="82"/>
      <c r="F50" s="100"/>
    </row>
    <row r="51" spans="2:8" x14ac:dyDescent="0.3">
      <c r="B51" s="58"/>
      <c r="C51" s="7"/>
      <c r="D51" s="7"/>
      <c r="E51" s="7"/>
      <c r="F51" s="75"/>
    </row>
    <row r="52" spans="2:8" x14ac:dyDescent="0.3">
      <c r="B52" s="56" t="s">
        <v>25</v>
      </c>
      <c r="C52" s="317" t="s">
        <v>168</v>
      </c>
      <c r="D52" s="317"/>
      <c r="E52" s="317"/>
      <c r="F52" s="75"/>
    </row>
    <row r="53" spans="2:8" ht="45" customHeight="1" x14ac:dyDescent="0.3">
      <c r="B53" s="57"/>
      <c r="C53" s="396" t="str">
        <f>'8 Software'!C53:E53</f>
        <v>remote software updates</v>
      </c>
      <c r="D53" s="397"/>
      <c r="E53" s="398"/>
      <c r="F53" s="75"/>
    </row>
    <row r="54" spans="2:8" x14ac:dyDescent="0.3">
      <c r="B54" s="57"/>
      <c r="C54" s="15"/>
      <c r="D54" s="15"/>
      <c r="E54" s="15"/>
      <c r="F54" s="75"/>
    </row>
    <row r="55" spans="2:8" ht="30" customHeight="1" x14ac:dyDescent="0.3">
      <c r="B55" s="56" t="s">
        <v>110</v>
      </c>
      <c r="C55" s="360" t="s">
        <v>169</v>
      </c>
      <c r="D55" s="360"/>
      <c r="E55" s="360"/>
      <c r="F55" s="75"/>
    </row>
    <row r="56" spans="2:8" x14ac:dyDescent="0.3">
      <c r="B56" s="56"/>
      <c r="C56" s="107"/>
      <c r="D56" s="17">
        <f>'8 Software'!D56</f>
        <v>0</v>
      </c>
      <c r="E56" s="12" t="s">
        <v>172</v>
      </c>
      <c r="F56" s="75"/>
    </row>
    <row r="57" spans="2:8" x14ac:dyDescent="0.3">
      <c r="B57" s="57"/>
      <c r="C57" s="15"/>
      <c r="D57" s="17">
        <f>'8 Software'!D57</f>
        <v>0</v>
      </c>
      <c r="E57" s="12" t="s">
        <v>170</v>
      </c>
      <c r="F57" s="75"/>
    </row>
    <row r="58" spans="2:8" x14ac:dyDescent="0.3">
      <c r="B58" s="57"/>
      <c r="C58" s="15"/>
      <c r="D58" s="17">
        <f>'8 Software'!D58</f>
        <v>0</v>
      </c>
      <c r="E58" s="12" t="s">
        <v>171</v>
      </c>
      <c r="F58" s="75"/>
    </row>
    <row r="59" spans="2:8" x14ac:dyDescent="0.3">
      <c r="B59" s="57"/>
      <c r="C59" s="15"/>
      <c r="D59" s="17">
        <f>'8 Software'!D59</f>
        <v>0</v>
      </c>
      <c r="E59" s="12" t="s">
        <v>484</v>
      </c>
      <c r="F59" s="75"/>
    </row>
    <row r="60" spans="2:8" x14ac:dyDescent="0.3">
      <c r="B60" s="57"/>
      <c r="C60" s="15"/>
      <c r="D60" s="16"/>
      <c r="E60" s="12"/>
      <c r="F60" s="75"/>
    </row>
    <row r="61" spans="2:8" x14ac:dyDescent="0.3">
      <c r="B61" s="56" t="s">
        <v>110</v>
      </c>
      <c r="C61" s="360" t="s">
        <v>258</v>
      </c>
      <c r="D61" s="360"/>
      <c r="E61" s="360"/>
      <c r="F61" s="75"/>
    </row>
    <row r="62" spans="2:8" x14ac:dyDescent="0.3">
      <c r="B62" s="56"/>
      <c r="C62" s="107"/>
      <c r="D62" s="45">
        <v>28.85</v>
      </c>
      <c r="E62" s="12" t="s">
        <v>173</v>
      </c>
      <c r="F62" s="75"/>
      <c r="H62" s="42"/>
    </row>
    <row r="63" spans="2:8" x14ac:dyDescent="0.3">
      <c r="B63" s="57"/>
      <c r="C63" s="15"/>
      <c r="D63" s="45">
        <v>28.85</v>
      </c>
      <c r="E63" s="12" t="s">
        <v>174</v>
      </c>
      <c r="F63" s="75"/>
      <c r="H63" s="42"/>
    </row>
    <row r="64" spans="2:8" x14ac:dyDescent="0.3">
      <c r="B64" s="57"/>
      <c r="C64" s="15"/>
      <c r="D64" s="45">
        <v>40.450000000000003</v>
      </c>
      <c r="E64" s="12" t="s">
        <v>175</v>
      </c>
      <c r="F64" s="75"/>
      <c r="H64" s="42"/>
    </row>
    <row r="65" spans="2:8" x14ac:dyDescent="0.3">
      <c r="B65" s="57"/>
      <c r="C65" s="15"/>
      <c r="D65" s="226">
        <v>28.85</v>
      </c>
      <c r="E65" s="12" t="s">
        <v>483</v>
      </c>
      <c r="F65" s="75"/>
      <c r="H65" s="42" t="s">
        <v>485</v>
      </c>
    </row>
    <row r="66" spans="2:8" ht="15" thickBot="1" x14ac:dyDescent="0.35">
      <c r="B66" s="57"/>
      <c r="C66" s="15"/>
      <c r="D66" s="16"/>
      <c r="E66" s="12"/>
      <c r="F66" s="75"/>
    </row>
    <row r="67" spans="2:8" ht="15.6" thickTop="1" thickBot="1" x14ac:dyDescent="0.35">
      <c r="B67" s="57"/>
      <c r="C67" s="7"/>
      <c r="D67" s="140" t="s">
        <v>133</v>
      </c>
      <c r="E67" s="155">
        <f>IF(D20="YES",(D56*D62+D57*D63+D58*D64+D59*D65)*12,0)</f>
        <v>0</v>
      </c>
      <c r="F67" s="75"/>
    </row>
    <row r="68" spans="2:8" ht="15" thickTop="1" x14ac:dyDescent="0.3">
      <c r="B68" s="59"/>
      <c r="C68" s="132"/>
      <c r="D68" s="132"/>
      <c r="E68" s="132"/>
      <c r="F68" s="99"/>
    </row>
    <row r="70" spans="2:8" x14ac:dyDescent="0.3">
      <c r="B70" s="55" t="s">
        <v>65</v>
      </c>
      <c r="C70" s="82"/>
      <c r="D70" s="82"/>
      <c r="E70" s="82"/>
      <c r="F70" s="100"/>
    </row>
    <row r="71" spans="2:8" x14ac:dyDescent="0.3">
      <c r="B71" s="58"/>
      <c r="C71" s="7"/>
      <c r="D71" s="7"/>
      <c r="E71" s="7"/>
      <c r="F71" s="75"/>
    </row>
    <row r="72" spans="2:8" x14ac:dyDescent="0.3">
      <c r="B72" s="56" t="s">
        <v>49</v>
      </c>
      <c r="C72" s="379" t="s">
        <v>202</v>
      </c>
      <c r="D72" s="379"/>
      <c r="E72" s="379"/>
      <c r="F72" s="75"/>
    </row>
    <row r="73" spans="2:8" ht="45.75" customHeight="1" x14ac:dyDescent="0.3">
      <c r="B73" s="57"/>
      <c r="C73" s="396">
        <f>'8 Software'!C67:E67</f>
        <v>0</v>
      </c>
      <c r="D73" s="397"/>
      <c r="E73" s="398"/>
      <c r="F73" s="75"/>
    </row>
    <row r="74" spans="2:8" x14ac:dyDescent="0.3">
      <c r="B74" s="57"/>
      <c r="C74" s="15"/>
      <c r="D74" s="15"/>
      <c r="E74" s="15"/>
      <c r="F74" s="75"/>
    </row>
    <row r="75" spans="2:8" x14ac:dyDescent="0.3">
      <c r="B75" s="56" t="s">
        <v>118</v>
      </c>
      <c r="C75" s="360" t="s">
        <v>177</v>
      </c>
      <c r="D75" s="360"/>
      <c r="E75" s="360"/>
      <c r="F75" s="75"/>
    </row>
    <row r="76" spans="2:8" x14ac:dyDescent="0.3">
      <c r="B76" s="57"/>
      <c r="C76" s="15"/>
      <c r="D76" s="374">
        <f>'8 Software'!D70:E70</f>
        <v>0</v>
      </c>
      <c r="E76" s="374"/>
      <c r="F76" s="75"/>
    </row>
    <row r="77" spans="2:8" ht="37.950000000000003" customHeight="1" x14ac:dyDescent="0.3">
      <c r="B77" s="56" t="s">
        <v>119</v>
      </c>
      <c r="C77" s="403" t="s">
        <v>178</v>
      </c>
      <c r="D77" s="403"/>
      <c r="E77" s="403"/>
      <c r="F77" s="75"/>
    </row>
    <row r="78" spans="2:8" ht="47.25" customHeight="1" x14ac:dyDescent="0.3">
      <c r="B78" s="57"/>
      <c r="C78" s="396">
        <f>'8 Software'!C72:E72</f>
        <v>0</v>
      </c>
      <c r="D78" s="397"/>
      <c r="E78" s="398"/>
      <c r="F78" s="75"/>
    </row>
    <row r="79" spans="2:8" ht="15" thickBot="1" x14ac:dyDescent="0.35">
      <c r="B79" s="57"/>
      <c r="C79" s="15"/>
      <c r="D79" s="15"/>
      <c r="E79" s="15"/>
      <c r="F79" s="75"/>
    </row>
    <row r="80" spans="2:8" ht="15.6" thickTop="1" thickBot="1" x14ac:dyDescent="0.35">
      <c r="B80" s="57"/>
      <c r="C80" s="7"/>
      <c r="D80" s="140" t="s">
        <v>131</v>
      </c>
      <c r="E80" s="155">
        <f>IF(D21="YES",D76,0)</f>
        <v>0</v>
      </c>
      <c r="F80" s="75"/>
    </row>
    <row r="81" spans="2:6" ht="15" thickTop="1" x14ac:dyDescent="0.3">
      <c r="B81" s="59"/>
      <c r="C81" s="132"/>
      <c r="D81" s="132"/>
      <c r="E81" s="132"/>
      <c r="F81" s="99"/>
    </row>
    <row r="82" spans="2:6" ht="15" thickBot="1" x14ac:dyDescent="0.35"/>
    <row r="83" spans="2:6" ht="19.2" thickTop="1" thickBot="1" x14ac:dyDescent="0.35">
      <c r="D83" s="94" t="s">
        <v>132</v>
      </c>
      <c r="E83" s="93">
        <f>ROUND(SUM(E80,E67,E47,E34,),-2)</f>
        <v>0</v>
      </c>
    </row>
    <row r="84" spans="2:6" ht="15" thickTop="1" x14ac:dyDescent="0.3"/>
  </sheetData>
  <mergeCells count="31">
    <mergeCell ref="D76:E76"/>
    <mergeCell ref="C77:E77"/>
    <mergeCell ref="C78:E78"/>
    <mergeCell ref="C55:E55"/>
    <mergeCell ref="C2:E2"/>
    <mergeCell ref="C61:E61"/>
    <mergeCell ref="C72:E72"/>
    <mergeCell ref="C73:E73"/>
    <mergeCell ref="C75:E75"/>
    <mergeCell ref="C42:E42"/>
    <mergeCell ref="D43:E43"/>
    <mergeCell ref="C44:E44"/>
    <mergeCell ref="C45:E45"/>
    <mergeCell ref="C52:E52"/>
    <mergeCell ref="C53:E53"/>
    <mergeCell ref="C29:E29"/>
    <mergeCell ref="D30:E30"/>
    <mergeCell ref="C31:E31"/>
    <mergeCell ref="C32:E32"/>
    <mergeCell ref="C39:E39"/>
    <mergeCell ref="C40:E40"/>
    <mergeCell ref="C27:E27"/>
    <mergeCell ref="D5:E5"/>
    <mergeCell ref="D6:E6"/>
    <mergeCell ref="D7:E7"/>
    <mergeCell ref="D10:E10"/>
    <mergeCell ref="D12:E12"/>
    <mergeCell ref="C14:E14"/>
    <mergeCell ref="C15:E15"/>
    <mergeCell ref="C17:E17"/>
    <mergeCell ref="C26:E26"/>
  </mergeCells>
  <conditionalFormatting sqref="B24:F33 B35:F35 B34:D34 F34">
    <cfRule type="expression" dxfId="175" priority="18">
      <formula>$D$18="NO"</formula>
    </cfRule>
  </conditionalFormatting>
  <conditionalFormatting sqref="B37:F48 B58:B60 F58:F66 B67:F68 B55:C57 F55:F56 E57:F57 C58:C59 E58:E59 D57:D59 B61:C62">
    <cfRule type="expression" dxfId="174" priority="17">
      <formula>$D$19="NO"</formula>
    </cfRule>
  </conditionalFormatting>
  <conditionalFormatting sqref="B50:F54">
    <cfRule type="expression" dxfId="173" priority="16">
      <formula>$D$19="NO"</formula>
    </cfRule>
  </conditionalFormatting>
  <conditionalFormatting sqref="C60:E60">
    <cfRule type="expression" dxfId="172" priority="15">
      <formula>$D$19="NO"</formula>
    </cfRule>
  </conditionalFormatting>
  <conditionalFormatting sqref="D56:E56">
    <cfRule type="expression" dxfId="171" priority="14">
      <formula>$D$19="NO"</formula>
    </cfRule>
  </conditionalFormatting>
  <conditionalFormatting sqref="E34">
    <cfRule type="expression" dxfId="170" priority="13">
      <formula>$D$18="NO"</formula>
    </cfRule>
  </conditionalFormatting>
  <conditionalFormatting sqref="B64:B66">
    <cfRule type="expression" dxfId="169" priority="12">
      <formula>$D$19="NO"</formula>
    </cfRule>
  </conditionalFormatting>
  <conditionalFormatting sqref="B63:C63 E63">
    <cfRule type="expression" dxfId="168" priority="11">
      <formula>$D$19="NO"</formula>
    </cfRule>
  </conditionalFormatting>
  <conditionalFormatting sqref="C64:E64 C66:E66 C65">
    <cfRule type="expression" dxfId="167" priority="10">
      <formula>$D$19="NO"</formula>
    </cfRule>
  </conditionalFormatting>
  <conditionalFormatting sqref="D62:E62">
    <cfRule type="expression" dxfId="166" priority="9">
      <formula>$D$19="NO"</formula>
    </cfRule>
  </conditionalFormatting>
  <conditionalFormatting sqref="B70:F81">
    <cfRule type="expression" dxfId="165" priority="8">
      <formula>$D$18="NO"</formula>
    </cfRule>
  </conditionalFormatting>
  <conditionalFormatting sqref="D83">
    <cfRule type="expression" dxfId="164" priority="7">
      <formula>$D$13="NO"</formula>
    </cfRule>
  </conditionalFormatting>
  <conditionalFormatting sqref="D83">
    <cfRule type="expression" dxfId="163" priority="6">
      <formula>"($C$15='NO')"</formula>
    </cfRule>
  </conditionalFormatting>
  <conditionalFormatting sqref="E83">
    <cfRule type="expression" dxfId="162" priority="4">
      <formula>$D$13="NO"</formula>
    </cfRule>
  </conditionalFormatting>
  <conditionalFormatting sqref="E83">
    <cfRule type="expression" dxfId="161" priority="5">
      <formula>"($C$15='NO')"</formula>
    </cfRule>
  </conditionalFormatting>
  <conditionalFormatting sqref="D63">
    <cfRule type="expression" dxfId="160" priority="3">
      <formula>$D$19="NO"</formula>
    </cfRule>
  </conditionalFormatting>
  <conditionalFormatting sqref="E65">
    <cfRule type="expression" dxfId="159" priority="2">
      <formula>$D$19="NO"</formula>
    </cfRule>
  </conditionalFormatting>
  <conditionalFormatting sqref="D65">
    <cfRule type="expression" dxfId="158" priority="1">
      <formula>$D$19="NO"</formula>
    </cfRule>
  </conditionalFormatting>
  <dataValidations disablePrompts="1" count="3">
    <dataValidation showInputMessage="1" showErrorMessage="1" sqref="D18:D21"/>
    <dataValidation type="whole" allowBlank="1" showInputMessage="1" showErrorMessage="1" sqref="D43 D30 D66 D56:D60 D76">
      <formula1>0</formula1>
      <formula2>10000000</formula2>
    </dataValidation>
    <dataValidation showInputMessage="1" showErrorMessage="1" promptTitle="ITS Device Project Purpose" sqref="D13:E13"/>
  </dataValidation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66"/>
    <pageSetUpPr fitToPage="1"/>
  </sheetPr>
  <dimension ref="A1:I39"/>
  <sheetViews>
    <sheetView zoomScale="85" zoomScaleNormal="85" zoomScaleSheetLayoutView="85" workbookViewId="0">
      <selection activeCell="E13" sqref="E13"/>
    </sheetView>
  </sheetViews>
  <sheetFormatPr defaultColWidth="8.88671875" defaultRowHeight="14.4" x14ac:dyDescent="0.3"/>
  <cols>
    <col min="1" max="1" width="1.5546875" style="4" customWidth="1"/>
    <col min="2" max="2" width="13.109375" style="4" customWidth="1"/>
    <col min="3" max="3" width="44.88671875" style="4" customWidth="1"/>
    <col min="4" max="4" width="11.44140625" style="4" customWidth="1"/>
    <col min="5" max="5" width="29" style="4" customWidth="1"/>
    <col min="6" max="6" width="1" style="4" customWidth="1"/>
    <col min="7" max="7" width="1.33203125" style="4" customWidth="1"/>
    <col min="8" max="9" width="9.109375" style="4" customWidth="1"/>
    <col min="10" max="16384" width="8.88671875" style="4"/>
  </cols>
  <sheetData>
    <row r="1" spans="1:8" x14ac:dyDescent="0.3">
      <c r="A1" s="7"/>
      <c r="B1" s="7"/>
      <c r="C1" s="277" t="s">
        <v>488</v>
      </c>
      <c r="D1" s="162"/>
      <c r="E1" s="162"/>
      <c r="F1" s="7"/>
      <c r="G1" s="7"/>
    </row>
    <row r="2" spans="1:8" ht="25.8" x14ac:dyDescent="0.3">
      <c r="A2" s="7"/>
      <c r="B2" s="7"/>
      <c r="C2" s="176" t="s">
        <v>195</v>
      </c>
      <c r="D2" s="7"/>
      <c r="E2" s="7"/>
      <c r="F2" s="7"/>
      <c r="G2" s="7"/>
    </row>
    <row r="3" spans="1:8" x14ac:dyDescent="0.3">
      <c r="A3" s="7"/>
      <c r="B3" s="7"/>
      <c r="C3" s="377" t="s">
        <v>244</v>
      </c>
      <c r="D3" s="377"/>
      <c r="E3" s="377"/>
      <c r="F3" s="7"/>
      <c r="G3" s="7"/>
    </row>
    <row r="4" spans="1:8" x14ac:dyDescent="0.3">
      <c r="A4" s="7"/>
      <c r="B4" s="7"/>
      <c r="C4" s="7"/>
      <c r="D4" s="7"/>
      <c r="E4" s="7"/>
      <c r="F4" s="7"/>
      <c r="G4" s="7"/>
    </row>
    <row r="5" spans="1:8" x14ac:dyDescent="0.3">
      <c r="A5" s="7"/>
      <c r="B5" s="7"/>
      <c r="C5" s="20" t="s">
        <v>2</v>
      </c>
      <c r="D5" s="380" t="str">
        <f>IF('Project Information'!E5=0, "-",'Project Information'!E5)</f>
        <v>-</v>
      </c>
      <c r="E5" s="380"/>
      <c r="F5" s="7"/>
      <c r="G5" s="7"/>
    </row>
    <row r="6" spans="1:8" x14ac:dyDescent="0.3">
      <c r="A6" s="7"/>
      <c r="B6" s="7"/>
      <c r="C6" s="20" t="s">
        <v>0</v>
      </c>
      <c r="D6" s="380" t="str">
        <f>IF('Project Information'!E6=0, "-",'Project Information'!E6)</f>
        <v>-</v>
      </c>
      <c r="E6" s="380"/>
      <c r="F6" s="7"/>
      <c r="G6" s="7"/>
    </row>
    <row r="7" spans="1:8" x14ac:dyDescent="0.3">
      <c r="A7" s="7"/>
      <c r="B7" s="7"/>
      <c r="C7" s="20" t="s">
        <v>160</v>
      </c>
      <c r="D7" s="380" t="str">
        <f>IF('Project Information'!E7=0, "-",'Project Information'!E7)</f>
        <v>-</v>
      </c>
      <c r="E7" s="380"/>
      <c r="F7" s="7"/>
      <c r="G7" s="7"/>
    </row>
    <row r="8" spans="1:8" x14ac:dyDescent="0.3">
      <c r="A8" s="7"/>
      <c r="B8" s="7"/>
      <c r="C8" s="7"/>
      <c r="D8" s="20"/>
      <c r="E8" s="7"/>
      <c r="F8" s="7"/>
      <c r="G8" s="7"/>
    </row>
    <row r="9" spans="1:8" x14ac:dyDescent="0.3">
      <c r="A9" s="7"/>
      <c r="B9" s="7"/>
      <c r="C9" s="7"/>
      <c r="D9" s="20"/>
      <c r="E9" s="7"/>
      <c r="F9" s="7"/>
      <c r="G9" s="7"/>
    </row>
    <row r="10" spans="1:8" x14ac:dyDescent="0.3">
      <c r="A10" s="7"/>
      <c r="B10" s="50">
        <v>1</v>
      </c>
      <c r="C10" s="19" t="s">
        <v>233</v>
      </c>
      <c r="D10" s="355"/>
      <c r="E10" s="355"/>
      <c r="F10" s="7"/>
      <c r="G10" s="7"/>
    </row>
    <row r="11" spans="1:8" ht="17.25" customHeight="1" x14ac:dyDescent="0.3">
      <c r="A11" s="7"/>
      <c r="B11" s="50"/>
      <c r="C11" s="19"/>
      <c r="D11" s="8"/>
      <c r="E11" s="7"/>
      <c r="F11" s="7"/>
      <c r="G11" s="7"/>
    </row>
    <row r="12" spans="1:8" ht="28.95" customHeight="1" x14ac:dyDescent="0.3">
      <c r="B12" s="4">
        <v>2</v>
      </c>
      <c r="C12" s="317" t="s">
        <v>602</v>
      </c>
      <c r="D12" s="317"/>
      <c r="E12" s="317"/>
      <c r="F12" s="106"/>
      <c r="H12" s="117"/>
    </row>
    <row r="13" spans="1:8" ht="14.4" customHeight="1" x14ac:dyDescent="0.3">
      <c r="C13" s="7"/>
      <c r="D13" s="20" t="s">
        <v>440</v>
      </c>
      <c r="E13" s="291" t="str">
        <f>IF('Project Information'!F11=0,"-",'Project Information'!F11)</f>
        <v>-</v>
      </c>
      <c r="F13" s="15"/>
      <c r="H13" s="117"/>
    </row>
    <row r="14" spans="1:8" ht="14.4" customHeight="1" x14ac:dyDescent="0.3">
      <c r="C14" s="7"/>
      <c r="D14" s="20" t="s">
        <v>6</v>
      </c>
      <c r="E14" s="291" t="str">
        <f>IF('Project Information'!F12=0,"-",'Project Information'!F12)</f>
        <v>-</v>
      </c>
      <c r="H14" s="117"/>
    </row>
    <row r="15" spans="1:8" ht="14.4" customHeight="1" x14ac:dyDescent="0.3">
      <c r="C15" s="7"/>
      <c r="D15" s="20" t="s">
        <v>297</v>
      </c>
      <c r="E15" s="291" t="str">
        <f>IF('Project Information'!F13=0,"-",'Project Information'!F13)</f>
        <v>-</v>
      </c>
      <c r="H15" s="125"/>
    </row>
    <row r="16" spans="1:8" ht="14.4" customHeight="1" x14ac:dyDescent="0.3">
      <c r="C16" s="7"/>
      <c r="D16" s="20" t="s">
        <v>441</v>
      </c>
      <c r="E16" s="291" t="str">
        <f>IF('Project Information'!F14=0,"-",'Project Information'!F14)</f>
        <v>-</v>
      </c>
      <c r="H16" s="125"/>
    </row>
    <row r="17" spans="1:9" ht="14.4" customHeight="1" x14ac:dyDescent="0.3">
      <c r="C17" s="7"/>
      <c r="D17" s="20" t="s">
        <v>442</v>
      </c>
      <c r="E17" s="291" t="str">
        <f>IF('Project Information'!F15=0,"-",'Project Information'!F15)</f>
        <v>-</v>
      </c>
      <c r="H17" s="125"/>
    </row>
    <row r="18" spans="1:9" ht="14.4" customHeight="1" x14ac:dyDescent="0.3">
      <c r="C18" s="7"/>
      <c r="D18" s="20" t="s">
        <v>443</v>
      </c>
      <c r="E18" s="291" t="str">
        <f>IF('Project Information'!F16=0,"-",'Project Information'!F16)</f>
        <v>-</v>
      </c>
      <c r="H18" s="125"/>
    </row>
    <row r="19" spans="1:9" ht="14.4" customHeight="1" x14ac:dyDescent="0.3">
      <c r="C19" s="7"/>
      <c r="D19" s="20"/>
      <c r="E19" s="20"/>
      <c r="H19" s="117"/>
    </row>
    <row r="20" spans="1:9" x14ac:dyDescent="0.3">
      <c r="A20" s="7"/>
      <c r="B20" s="50">
        <v>3</v>
      </c>
      <c r="C20" s="361" t="s">
        <v>359</v>
      </c>
      <c r="D20" s="361"/>
      <c r="E20" s="361"/>
      <c r="F20" s="7"/>
      <c r="G20" s="7"/>
    </row>
    <row r="21" spans="1:9" x14ac:dyDescent="0.3">
      <c r="A21" s="7"/>
      <c r="B21" s="50"/>
      <c r="C21" s="111"/>
      <c r="D21" s="118"/>
      <c r="E21" s="7"/>
      <c r="F21" s="7"/>
      <c r="G21" s="7"/>
    </row>
    <row r="22" spans="1:9" x14ac:dyDescent="0.3">
      <c r="A22" s="7"/>
      <c r="B22" s="7"/>
      <c r="C22" s="7"/>
      <c r="D22" s="7"/>
      <c r="E22" s="7"/>
      <c r="F22" s="7"/>
      <c r="G22" s="7"/>
    </row>
    <row r="23" spans="1:9" x14ac:dyDescent="0.3">
      <c r="A23" s="7"/>
      <c r="B23" s="55" t="s">
        <v>24</v>
      </c>
      <c r="C23" s="82"/>
      <c r="D23" s="82"/>
      <c r="E23" s="82"/>
      <c r="F23" s="100"/>
      <c r="G23" s="7"/>
      <c r="I23" s="7"/>
    </row>
    <row r="24" spans="1:9" x14ac:dyDescent="0.3">
      <c r="A24" s="7"/>
      <c r="B24" s="58"/>
      <c r="C24" s="7"/>
      <c r="D24" s="7"/>
      <c r="E24" s="7"/>
      <c r="F24" s="75"/>
      <c r="G24" s="58"/>
      <c r="H24" s="7"/>
      <c r="I24" s="7"/>
    </row>
    <row r="25" spans="1:9" ht="47.25" customHeight="1" x14ac:dyDescent="0.3">
      <c r="A25" s="7"/>
      <c r="B25" s="56" t="s">
        <v>25</v>
      </c>
      <c r="C25" s="317" t="s">
        <v>196</v>
      </c>
      <c r="D25" s="317"/>
      <c r="E25" s="317"/>
      <c r="F25" s="75"/>
      <c r="G25" s="58"/>
      <c r="H25" s="224"/>
      <c r="I25" s="7"/>
    </row>
    <row r="26" spans="1:9" x14ac:dyDescent="0.3">
      <c r="A26" s="7"/>
      <c r="B26" s="57"/>
      <c r="C26" s="7"/>
      <c r="D26" s="369"/>
      <c r="E26" s="370"/>
      <c r="F26" s="75"/>
      <c r="G26" s="58"/>
      <c r="H26" s="216"/>
      <c r="I26" s="7"/>
    </row>
    <row r="27" spans="1:9" ht="43.95" customHeight="1" x14ac:dyDescent="0.3">
      <c r="A27" s="7"/>
      <c r="B27" s="56" t="s">
        <v>110</v>
      </c>
      <c r="C27" s="317" t="s">
        <v>257</v>
      </c>
      <c r="D27" s="317"/>
      <c r="E27" s="317"/>
      <c r="F27" s="75"/>
      <c r="G27" s="7"/>
    </row>
    <row r="28" spans="1:9" x14ac:dyDescent="0.3">
      <c r="A28" s="7"/>
      <c r="B28" s="57"/>
      <c r="C28" s="7"/>
      <c r="D28" s="18"/>
      <c r="E28" s="7" t="s">
        <v>139</v>
      </c>
      <c r="F28" s="75"/>
      <c r="G28" s="7"/>
      <c r="H28" s="42"/>
    </row>
    <row r="29" spans="1:9" x14ac:dyDescent="0.3">
      <c r="A29" s="7"/>
      <c r="B29" s="56" t="s">
        <v>140</v>
      </c>
      <c r="C29" s="7" t="s">
        <v>141</v>
      </c>
      <c r="D29" s="32"/>
      <c r="E29" s="7"/>
      <c r="F29" s="75"/>
      <c r="G29" s="7"/>
    </row>
    <row r="30" spans="1:9" x14ac:dyDescent="0.3">
      <c r="A30" s="7"/>
      <c r="B30" s="56"/>
      <c r="C30" s="7"/>
      <c r="D30" s="12"/>
      <c r="E30" s="7"/>
      <c r="F30" s="75"/>
      <c r="G30" s="7"/>
    </row>
    <row r="31" spans="1:9" x14ac:dyDescent="0.3">
      <c r="A31" s="7"/>
      <c r="B31" s="190" t="s">
        <v>156</v>
      </c>
      <c r="C31" s="15" t="s">
        <v>591</v>
      </c>
      <c r="E31" s="15"/>
      <c r="F31" s="75"/>
      <c r="G31" s="7"/>
    </row>
    <row r="32" spans="1:9" x14ac:dyDescent="0.3">
      <c r="A32" s="7"/>
      <c r="B32" s="190"/>
      <c r="C32" s="15"/>
      <c r="D32" s="286"/>
      <c r="E32" s="15"/>
      <c r="F32" s="75"/>
      <c r="G32" s="7"/>
    </row>
    <row r="33" spans="1:7" ht="15" thickBot="1" x14ac:dyDescent="0.35">
      <c r="A33" s="7"/>
      <c r="B33" s="57"/>
      <c r="C33" s="7"/>
      <c r="D33" s="7"/>
      <c r="E33" s="7"/>
      <c r="F33" s="75"/>
      <c r="G33" s="7"/>
    </row>
    <row r="34" spans="1:7" ht="15.6" thickTop="1" thickBot="1" x14ac:dyDescent="0.35">
      <c r="A34" s="7"/>
      <c r="B34" s="57"/>
      <c r="C34" s="7"/>
      <c r="D34" s="140" t="s">
        <v>133</v>
      </c>
      <c r="E34" s="199" t="e">
        <f>'9 ITS Device Replac Benefit'!E49</f>
        <v>#VALUE!</v>
      </c>
      <c r="F34" s="75"/>
      <c r="G34" s="7"/>
    </row>
    <row r="35" spans="1:7" ht="15" thickTop="1" x14ac:dyDescent="0.3">
      <c r="A35" s="7"/>
      <c r="B35" s="60"/>
      <c r="C35" s="132"/>
      <c r="D35" s="132"/>
      <c r="E35" s="132"/>
      <c r="F35" s="99"/>
      <c r="G35" s="7"/>
    </row>
    <row r="36" spans="1:7" ht="15" thickBot="1" x14ac:dyDescent="0.35">
      <c r="A36" s="7"/>
      <c r="B36" s="20"/>
      <c r="C36" s="7"/>
      <c r="D36" s="140"/>
      <c r="E36" s="161"/>
      <c r="F36" s="7"/>
      <c r="G36" s="7"/>
    </row>
    <row r="37" spans="1:7" ht="19.2" thickTop="1" thickBot="1" x14ac:dyDescent="0.35">
      <c r="A37" s="7"/>
      <c r="B37" s="20"/>
      <c r="C37" s="7"/>
      <c r="D37" s="94" t="s">
        <v>132</v>
      </c>
      <c r="E37" s="93" t="e">
        <f>'9 ITS Device Replac Benefit'!E52</f>
        <v>#VALUE!</v>
      </c>
      <c r="F37" s="7"/>
      <c r="G37" s="7"/>
    </row>
    <row r="38" spans="1:7" ht="19.2" thickTop="1" thickBot="1" x14ac:dyDescent="0.35">
      <c r="A38" s="7"/>
      <c r="B38" s="7"/>
      <c r="C38" s="7"/>
      <c r="D38" s="94" t="s">
        <v>330</v>
      </c>
      <c r="E38" s="96" t="e">
        <f>E37/D10</f>
        <v>#VALUE!</v>
      </c>
      <c r="F38" s="7"/>
      <c r="G38" s="7"/>
    </row>
    <row r="39" spans="1:7" ht="15" thickTop="1" x14ac:dyDescent="0.3"/>
  </sheetData>
  <mergeCells count="10">
    <mergeCell ref="C3:E3"/>
    <mergeCell ref="C25:E25"/>
    <mergeCell ref="D26:E26"/>
    <mergeCell ref="C27:E27"/>
    <mergeCell ref="D5:E5"/>
    <mergeCell ref="D6:E6"/>
    <mergeCell ref="D7:E7"/>
    <mergeCell ref="D10:E10"/>
    <mergeCell ref="C20:E20"/>
    <mergeCell ref="C12:E12"/>
  </mergeCells>
  <conditionalFormatting sqref="B23:F35">
    <cfRule type="expression" dxfId="157" priority="4">
      <formula>#REF!="NO"</formula>
    </cfRule>
  </conditionalFormatting>
  <conditionalFormatting sqref="E13:F13 E14:E18">
    <cfRule type="expression" dxfId="156" priority="1">
      <formula>AND($F$13="NOT WARRANTED",$F$14="NOT WARRANTED",$F$15="NOT WARRANTED",$F$16="NOT WARRANTED")</formula>
    </cfRule>
  </conditionalFormatting>
  <dataValidations count="2">
    <dataValidation showInputMessage="1" showErrorMessage="1" sqref="D21"/>
    <dataValidation type="whole" allowBlank="1" showInputMessage="1" showErrorMessage="1" sqref="D10">
      <formula1>0</formula1>
      <formula2>10000000</formula2>
    </dataValidation>
  </dataValidations>
  <pageMargins left="0.7" right="0.7" top="0.75" bottom="0.75" header="0.3" footer="0.3"/>
  <pageSetup scale="88" fitToHeight="0" orientation="portrait" r:id="rId1"/>
  <ignoredErrors>
    <ignoredError sqref="B11" numberStoredAsText="1"/>
    <ignoredError sqref="D5:E7" unlockedFormula="1"/>
  </ignoredErrors>
  <drawing r:id="rId2"/>
  <extLst>
    <ext xmlns:x14="http://schemas.microsoft.com/office/spreadsheetml/2009/9/main" uri="{CCE6A557-97BC-4b89-ADB6-D9C93CAAB3DF}">
      <x14:dataValidations xmlns:xm="http://schemas.microsoft.com/office/excel/2006/main" count="2">
        <x14:dataValidation type="list" showInputMessage="1" showErrorMessage="1" promptTitle="Increased Maintenance">
          <x14:formula1>
            <xm:f>'drop-downs'!$Y$2:$Y$4</xm:f>
          </x14:formula1>
          <xm:sqref>D26:E26</xm:sqref>
        </x14:dataValidation>
        <x14:dataValidation type="list" allowBlank="1" showInputMessage="1" showErrorMessage="1">
          <x14:formula1>
            <xm:f>'drop-downs'!$AE$2:$AE$7</xm:f>
          </x14:formula1>
          <xm:sqref>D32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66"/>
  </sheetPr>
  <dimension ref="A1:H53"/>
  <sheetViews>
    <sheetView topLeftCell="A23" workbookViewId="0">
      <selection activeCell="I39" sqref="I39"/>
    </sheetView>
  </sheetViews>
  <sheetFormatPr defaultColWidth="8.88671875" defaultRowHeight="14.4" x14ac:dyDescent="0.3"/>
  <cols>
    <col min="1" max="1" width="1.33203125" style="4" customWidth="1"/>
    <col min="2" max="2" width="11.6640625" style="4" customWidth="1"/>
    <col min="3" max="3" width="44.88671875" style="4" customWidth="1"/>
    <col min="4" max="4" width="11.44140625" style="4" customWidth="1"/>
    <col min="5" max="5" width="29" style="4" customWidth="1"/>
    <col min="6" max="6" width="1" style="4" customWidth="1"/>
    <col min="7" max="7" width="1.109375" style="4" customWidth="1"/>
    <col min="8" max="8" width="10.109375" style="4" bestFit="1" customWidth="1"/>
    <col min="9" max="16384" width="8.88671875" style="4"/>
  </cols>
  <sheetData>
    <row r="1" spans="1:7" x14ac:dyDescent="0.3">
      <c r="A1" s="7"/>
      <c r="B1" s="7"/>
      <c r="C1" s="129" t="s">
        <v>239</v>
      </c>
      <c r="D1" s="7"/>
      <c r="E1" s="7"/>
      <c r="F1" s="7"/>
      <c r="G1" s="7"/>
    </row>
    <row r="2" spans="1:7" ht="25.8" x14ac:dyDescent="0.3">
      <c r="A2" s="7"/>
      <c r="B2" s="7"/>
      <c r="C2" s="371" t="s">
        <v>195</v>
      </c>
      <c r="D2" s="371"/>
      <c r="E2" s="371"/>
      <c r="F2" s="7"/>
      <c r="G2" s="7"/>
    </row>
    <row r="3" spans="1:7" x14ac:dyDescent="0.3">
      <c r="A3" s="7"/>
      <c r="B3" s="7"/>
      <c r="F3" s="7"/>
      <c r="G3" s="7"/>
    </row>
    <row r="4" spans="1:7" x14ac:dyDescent="0.3">
      <c r="A4" s="7"/>
      <c r="B4" s="7"/>
      <c r="C4" s="7"/>
      <c r="D4" s="7"/>
      <c r="E4" s="7"/>
      <c r="F4" s="7"/>
      <c r="G4" s="7"/>
    </row>
    <row r="5" spans="1:7" x14ac:dyDescent="0.3">
      <c r="A5" s="7"/>
      <c r="B5" s="7"/>
      <c r="C5" s="120" t="s">
        <v>2</v>
      </c>
      <c r="D5" s="363" t="str">
        <f>'9 ITS Device Replac'!D5:E5</f>
        <v>-</v>
      </c>
      <c r="E5" s="363"/>
      <c r="F5" s="7"/>
      <c r="G5" s="7"/>
    </row>
    <row r="6" spans="1:7" x14ac:dyDescent="0.3">
      <c r="A6" s="7"/>
      <c r="B6" s="7"/>
      <c r="C6" s="120" t="s">
        <v>0</v>
      </c>
      <c r="D6" s="363" t="str">
        <f>'9 ITS Device Replac'!D6:E6</f>
        <v>-</v>
      </c>
      <c r="E6" s="363"/>
      <c r="F6" s="7"/>
      <c r="G6" s="7"/>
    </row>
    <row r="7" spans="1:7" x14ac:dyDescent="0.3">
      <c r="A7" s="7"/>
      <c r="B7" s="7"/>
      <c r="C7" s="20" t="s">
        <v>160</v>
      </c>
      <c r="D7" s="363" t="str">
        <f>'9 ITS Device Replac'!D7:E7</f>
        <v>-</v>
      </c>
      <c r="E7" s="363"/>
      <c r="F7" s="7"/>
      <c r="G7" s="7"/>
    </row>
    <row r="8" spans="1:7" x14ac:dyDescent="0.3">
      <c r="A8" s="7"/>
      <c r="B8" s="7"/>
      <c r="C8" s="15"/>
      <c r="D8" s="120"/>
      <c r="E8" s="15"/>
      <c r="F8" s="7"/>
      <c r="G8" s="7"/>
    </row>
    <row r="9" spans="1:7" x14ac:dyDescent="0.3">
      <c r="A9" s="7"/>
      <c r="B9" s="7"/>
      <c r="C9" s="15"/>
      <c r="D9" s="120"/>
      <c r="E9" s="15"/>
      <c r="F9" s="7"/>
      <c r="G9" s="7"/>
    </row>
    <row r="10" spans="1:7" x14ac:dyDescent="0.3">
      <c r="A10" s="7"/>
      <c r="B10" s="50">
        <v>1</v>
      </c>
      <c r="C10" s="19" t="s">
        <v>233</v>
      </c>
      <c r="D10" s="374">
        <f>'9 ITS Device Replac'!D10:E10</f>
        <v>0</v>
      </c>
      <c r="E10" s="374"/>
      <c r="F10" s="7"/>
      <c r="G10" s="7"/>
    </row>
    <row r="11" spans="1:7" x14ac:dyDescent="0.3">
      <c r="A11" s="7"/>
      <c r="B11" s="50"/>
      <c r="C11" s="38"/>
      <c r="D11" s="14"/>
      <c r="E11" s="15"/>
      <c r="F11" s="7"/>
      <c r="G11" s="7"/>
    </row>
    <row r="12" spans="1:7" x14ac:dyDescent="0.3">
      <c r="A12" s="7"/>
      <c r="B12" s="50">
        <v>3</v>
      </c>
      <c r="C12" s="361" t="s">
        <v>197</v>
      </c>
      <c r="D12" s="361"/>
      <c r="E12" s="361"/>
      <c r="F12" s="7"/>
      <c r="G12" s="7"/>
    </row>
    <row r="13" spans="1:7" x14ac:dyDescent="0.3">
      <c r="A13" s="7"/>
      <c r="B13" s="50"/>
      <c r="C13" s="111"/>
      <c r="D13" s="52">
        <f>'9 ITS Device Replac'!D21</f>
        <v>0</v>
      </c>
      <c r="E13" s="7"/>
      <c r="F13" s="7"/>
      <c r="G13" s="7"/>
    </row>
    <row r="14" spans="1:7" x14ac:dyDescent="0.3">
      <c r="A14" s="7"/>
      <c r="B14" s="7"/>
      <c r="C14" s="7"/>
      <c r="D14" s="7"/>
      <c r="E14" s="7"/>
      <c r="F14" s="7"/>
      <c r="G14" s="7"/>
    </row>
    <row r="15" spans="1:7" x14ac:dyDescent="0.3">
      <c r="A15" s="7"/>
      <c r="B15" s="55" t="s">
        <v>24</v>
      </c>
      <c r="C15" s="82"/>
      <c r="D15" s="82"/>
      <c r="E15" s="82"/>
      <c r="F15" s="100"/>
      <c r="G15" s="7"/>
    </row>
    <row r="16" spans="1:7" x14ac:dyDescent="0.3">
      <c r="A16" s="7"/>
      <c r="B16" s="58"/>
      <c r="C16" s="7"/>
      <c r="D16" s="7"/>
      <c r="E16" s="7"/>
      <c r="F16" s="75"/>
      <c r="G16" s="7"/>
    </row>
    <row r="17" spans="1:7" ht="51" customHeight="1" x14ac:dyDescent="0.3">
      <c r="A17" s="7"/>
      <c r="B17" s="56" t="s">
        <v>25</v>
      </c>
      <c r="C17" s="317" t="s">
        <v>196</v>
      </c>
      <c r="D17" s="317"/>
      <c r="E17" s="317"/>
      <c r="F17" s="75"/>
      <c r="G17" s="7"/>
    </row>
    <row r="18" spans="1:7" x14ac:dyDescent="0.3">
      <c r="A18" s="7"/>
      <c r="B18" s="57"/>
      <c r="C18" s="15"/>
      <c r="D18" s="375">
        <f>'9 ITS Device Replac'!D26:E26</f>
        <v>0</v>
      </c>
      <c r="E18" s="376"/>
      <c r="F18" s="75"/>
      <c r="G18" s="7"/>
    </row>
    <row r="19" spans="1:7" ht="29.25" customHeight="1" x14ac:dyDescent="0.3">
      <c r="A19" s="7"/>
      <c r="B19" s="56" t="s">
        <v>110</v>
      </c>
      <c r="C19" s="317" t="s">
        <v>198</v>
      </c>
      <c r="D19" s="317"/>
      <c r="E19" s="317"/>
      <c r="F19" s="75"/>
      <c r="G19" s="7"/>
    </row>
    <row r="20" spans="1:7" x14ac:dyDescent="0.3">
      <c r="A20" s="7"/>
      <c r="B20" s="57"/>
      <c r="C20" s="15"/>
      <c r="D20" s="31">
        <f>'9 ITS Device Replac'!D28</f>
        <v>0</v>
      </c>
      <c r="E20" s="15" t="s">
        <v>139</v>
      </c>
      <c r="F20" s="75"/>
      <c r="G20" s="7"/>
    </row>
    <row r="21" spans="1:7" x14ac:dyDescent="0.3">
      <c r="A21" s="7"/>
      <c r="B21" s="56" t="s">
        <v>140</v>
      </c>
      <c r="C21" s="15" t="s">
        <v>141</v>
      </c>
      <c r="D21" s="33">
        <f>'9 ITS Device Replac'!D29</f>
        <v>0</v>
      </c>
      <c r="E21" s="15"/>
      <c r="F21" s="75"/>
      <c r="G21" s="7"/>
    </row>
    <row r="22" spans="1:7" x14ac:dyDescent="0.3">
      <c r="A22" s="7"/>
      <c r="B22" s="56"/>
      <c r="C22" s="15"/>
      <c r="D22" s="144"/>
      <c r="E22" s="15"/>
      <c r="F22" s="75"/>
      <c r="G22" s="7"/>
    </row>
    <row r="23" spans="1:7" ht="31.5" customHeight="1" x14ac:dyDescent="0.3">
      <c r="A23" s="7"/>
      <c r="B23" s="56" t="s">
        <v>142</v>
      </c>
      <c r="C23" s="360" t="s">
        <v>255</v>
      </c>
      <c r="D23" s="360"/>
      <c r="E23" s="360"/>
      <c r="F23" s="75"/>
      <c r="G23" s="7"/>
    </row>
    <row r="24" spans="1:7" ht="28.8" x14ac:dyDescent="0.3">
      <c r="A24" s="7"/>
      <c r="B24" s="56"/>
      <c r="C24" s="38"/>
      <c r="D24" s="34" t="s">
        <v>145</v>
      </c>
      <c r="E24" s="113" t="s">
        <v>254</v>
      </c>
      <c r="F24" s="75"/>
      <c r="G24" s="7"/>
    </row>
    <row r="25" spans="1:7" x14ac:dyDescent="0.3">
      <c r="A25" s="7"/>
      <c r="B25" s="56"/>
      <c r="C25" s="20" t="s">
        <v>27</v>
      </c>
      <c r="D25" s="62">
        <f>D34*3</f>
        <v>633</v>
      </c>
      <c r="E25" s="63">
        <f>E34</f>
        <v>1253.49</v>
      </c>
      <c r="F25" s="75"/>
      <c r="G25" s="7"/>
    </row>
    <row r="26" spans="1:7" x14ac:dyDescent="0.3">
      <c r="A26" s="7"/>
      <c r="B26" s="56"/>
      <c r="C26" s="20" t="s">
        <v>28</v>
      </c>
      <c r="D26" s="62">
        <f t="shared" ref="D26:D30" si="0">D35*3</f>
        <v>3144</v>
      </c>
      <c r="E26" s="63">
        <f t="shared" ref="E26:E30" si="1">E35</f>
        <v>316.20999999999998</v>
      </c>
      <c r="F26" s="75"/>
      <c r="G26" s="7"/>
    </row>
    <row r="27" spans="1:7" x14ac:dyDescent="0.3">
      <c r="A27" s="7"/>
      <c r="B27" s="56"/>
      <c r="C27" s="20" t="s">
        <v>29</v>
      </c>
      <c r="D27" s="62">
        <f t="shared" si="0"/>
        <v>654</v>
      </c>
      <c r="E27" s="63">
        <f t="shared" si="1"/>
        <v>482.33</v>
      </c>
      <c r="F27" s="75"/>
      <c r="G27" s="7"/>
    </row>
    <row r="28" spans="1:7" x14ac:dyDescent="0.3">
      <c r="A28" s="7"/>
      <c r="B28" s="56"/>
      <c r="C28" s="20" t="s">
        <v>30</v>
      </c>
      <c r="D28" s="62">
        <f t="shared" si="0"/>
        <v>258</v>
      </c>
      <c r="E28" s="63">
        <f t="shared" si="1"/>
        <v>436.82</v>
      </c>
      <c r="F28" s="75"/>
      <c r="G28" s="7"/>
    </row>
    <row r="29" spans="1:7" x14ac:dyDescent="0.3">
      <c r="A29" s="7"/>
      <c r="B29" s="56"/>
      <c r="C29" s="20" t="s">
        <v>32</v>
      </c>
      <c r="D29" s="62">
        <f t="shared" si="0"/>
        <v>69</v>
      </c>
      <c r="E29" s="63">
        <f t="shared" si="1"/>
        <v>444.35</v>
      </c>
      <c r="F29" s="75"/>
      <c r="G29" s="7"/>
    </row>
    <row r="30" spans="1:7" x14ac:dyDescent="0.3">
      <c r="A30" s="7"/>
      <c r="B30" s="57"/>
      <c r="C30" s="20" t="s">
        <v>31</v>
      </c>
      <c r="D30" s="62">
        <f t="shared" si="0"/>
        <v>312</v>
      </c>
      <c r="E30" s="63">
        <f t="shared" si="1"/>
        <v>733</v>
      </c>
      <c r="F30" s="75"/>
      <c r="G30" s="7"/>
    </row>
    <row r="31" spans="1:7" x14ac:dyDescent="0.3">
      <c r="A31" s="7"/>
      <c r="B31" s="57"/>
      <c r="C31" s="20"/>
      <c r="D31" s="20"/>
      <c r="E31" s="20"/>
      <c r="F31" s="75"/>
      <c r="G31" s="7"/>
    </row>
    <row r="32" spans="1:7" x14ac:dyDescent="0.3">
      <c r="A32" s="7"/>
      <c r="B32" s="56" t="s">
        <v>146</v>
      </c>
      <c r="C32" s="352" t="s">
        <v>148</v>
      </c>
      <c r="D32" s="352"/>
      <c r="E32" s="352"/>
      <c r="F32" s="75"/>
      <c r="G32" s="7"/>
    </row>
    <row r="33" spans="1:8" ht="43.2" x14ac:dyDescent="0.3">
      <c r="A33" s="7"/>
      <c r="B33" s="56"/>
      <c r="C33" s="38"/>
      <c r="D33" s="34" t="s">
        <v>149</v>
      </c>
      <c r="E33" s="87" t="s">
        <v>256</v>
      </c>
      <c r="F33" s="75"/>
      <c r="G33" s="7"/>
    </row>
    <row r="34" spans="1:8" x14ac:dyDescent="0.3">
      <c r="A34" s="7"/>
      <c r="B34" s="56"/>
      <c r="C34" s="20" t="s">
        <v>27</v>
      </c>
      <c r="D34" s="64">
        <f>VLOOKUP($C34,PARAMETERS!$I$17:$K$22,2,0)</f>
        <v>211</v>
      </c>
      <c r="E34" s="61">
        <f>VLOOKUP($C34,PARAMETERS!$I$17:$K$22,3,0)</f>
        <v>1253.49</v>
      </c>
      <c r="F34" s="75"/>
      <c r="G34" s="7"/>
      <c r="H34" s="42" t="s">
        <v>360</v>
      </c>
    </row>
    <row r="35" spans="1:8" x14ac:dyDescent="0.3">
      <c r="A35" s="7"/>
      <c r="B35" s="56"/>
      <c r="C35" s="20" t="s">
        <v>28</v>
      </c>
      <c r="D35" s="64">
        <f>VLOOKUP($C35,PARAMETERS!$I$17:$K$22,2,0)</f>
        <v>1048</v>
      </c>
      <c r="E35" s="61">
        <f>VLOOKUP($C35,PARAMETERS!$I$17:$K$22,3,0)</f>
        <v>316.20999999999998</v>
      </c>
      <c r="F35" s="75"/>
      <c r="G35" s="7"/>
    </row>
    <row r="36" spans="1:8" x14ac:dyDescent="0.3">
      <c r="A36" s="7"/>
      <c r="B36" s="56"/>
      <c r="C36" s="20" t="s">
        <v>29</v>
      </c>
      <c r="D36" s="64">
        <f>VLOOKUP($C36,PARAMETERS!$I$17:$K$22,2,0)</f>
        <v>218</v>
      </c>
      <c r="E36" s="61">
        <f>VLOOKUP($C36,PARAMETERS!$I$17:$K$22,3,0)</f>
        <v>482.33</v>
      </c>
      <c r="F36" s="75"/>
      <c r="G36" s="7"/>
    </row>
    <row r="37" spans="1:8" x14ac:dyDescent="0.3">
      <c r="A37" s="7"/>
      <c r="B37" s="56"/>
      <c r="C37" s="20" t="s">
        <v>30</v>
      </c>
      <c r="D37" s="64">
        <f>VLOOKUP($C37,PARAMETERS!$I$17:$K$22,2,0)</f>
        <v>86</v>
      </c>
      <c r="E37" s="61">
        <f>VLOOKUP($C37,PARAMETERS!$I$17:$K$22,3,0)</f>
        <v>436.82</v>
      </c>
      <c r="F37" s="75"/>
      <c r="G37" s="7"/>
    </row>
    <row r="38" spans="1:8" x14ac:dyDescent="0.3">
      <c r="A38" s="7"/>
      <c r="B38" s="57"/>
      <c r="C38" s="20" t="s">
        <v>32</v>
      </c>
      <c r="D38" s="64">
        <f>VLOOKUP($C38,PARAMETERS!$I$17:$K$22,2,0)</f>
        <v>23</v>
      </c>
      <c r="E38" s="61">
        <f>VLOOKUP($C38,PARAMETERS!$I$17:$K$22,3,0)</f>
        <v>444.35</v>
      </c>
      <c r="F38" s="75"/>
      <c r="G38" s="7"/>
    </row>
    <row r="39" spans="1:8" x14ac:dyDescent="0.3">
      <c r="A39" s="7"/>
      <c r="B39" s="57"/>
      <c r="C39" s="20" t="s">
        <v>31</v>
      </c>
      <c r="D39" s="64">
        <f>VLOOKUP($C39,PARAMETERS!$I$17:$K$22,2,0)</f>
        <v>104</v>
      </c>
      <c r="E39" s="61">
        <f>VLOOKUP($C39,PARAMETERS!$I$17:$K$22,3,0)</f>
        <v>733</v>
      </c>
      <c r="F39" s="75"/>
      <c r="G39" s="7"/>
    </row>
    <row r="40" spans="1:8" x14ac:dyDescent="0.3">
      <c r="A40" s="7"/>
      <c r="B40" s="57"/>
      <c r="C40" s="20"/>
      <c r="D40" s="20"/>
      <c r="E40" s="20"/>
      <c r="F40" s="75"/>
      <c r="G40" s="7"/>
    </row>
    <row r="41" spans="1:8" ht="30" customHeight="1" x14ac:dyDescent="0.3">
      <c r="A41" s="7"/>
      <c r="B41" s="56" t="s">
        <v>150</v>
      </c>
      <c r="C41" s="317" t="s">
        <v>151</v>
      </c>
      <c r="D41" s="317"/>
      <c r="E41" s="317"/>
      <c r="F41" s="75"/>
      <c r="G41" s="7"/>
    </row>
    <row r="42" spans="1:8" x14ac:dyDescent="0.3">
      <c r="A42" s="7"/>
      <c r="B42" s="56"/>
      <c r="C42" s="106"/>
      <c r="D42" s="35" t="str">
        <f>IF(D18="6 months",2*D21,IF(D18="1 year",D21,IF(D18="3 years",D21/3,"-")))</f>
        <v>-</v>
      </c>
      <c r="E42" s="20"/>
      <c r="F42" s="75"/>
      <c r="G42" s="7"/>
    </row>
    <row r="43" spans="1:8" ht="30" customHeight="1" x14ac:dyDescent="0.3">
      <c r="A43" s="7"/>
      <c r="B43" s="190" t="s">
        <v>194</v>
      </c>
      <c r="C43" s="317" t="s">
        <v>591</v>
      </c>
      <c r="D43" s="317"/>
      <c r="E43" s="317"/>
      <c r="F43" s="75"/>
      <c r="G43" s="7"/>
    </row>
    <row r="44" spans="1:8" x14ac:dyDescent="0.3">
      <c r="A44" s="7"/>
      <c r="B44" s="190"/>
      <c r="C44" s="285"/>
      <c r="D44" s="290">
        <f>'9 ITS Device Replac'!D32</f>
        <v>0</v>
      </c>
      <c r="E44" s="20"/>
      <c r="F44" s="75"/>
      <c r="G44" s="7"/>
    </row>
    <row r="45" spans="1:8" x14ac:dyDescent="0.3">
      <c r="A45" s="7"/>
      <c r="B45" s="190" t="s">
        <v>592</v>
      </c>
      <c r="C45" s="317" t="s">
        <v>593</v>
      </c>
      <c r="D45" s="317"/>
      <c r="E45" s="317"/>
      <c r="F45" s="75"/>
      <c r="G45" s="7"/>
    </row>
    <row r="46" spans="1:8" x14ac:dyDescent="0.3">
      <c r="A46" s="7"/>
      <c r="B46" s="190"/>
      <c r="C46" s="285"/>
      <c r="D46" s="64" t="e">
        <f>(1-(VLOOKUP(D44,'drop-downs'!AE2:AF7,2,FALSE))/100)*D42</f>
        <v>#N/A</v>
      </c>
      <c r="E46" s="20"/>
      <c r="F46" s="75"/>
      <c r="G46" s="7"/>
    </row>
    <row r="47" spans="1:8" x14ac:dyDescent="0.3">
      <c r="A47" s="7"/>
      <c r="B47" s="56"/>
      <c r="C47" s="285"/>
      <c r="D47" s="287"/>
      <c r="E47" s="20"/>
      <c r="F47" s="75"/>
      <c r="G47" s="7"/>
    </row>
    <row r="48" spans="1:8" ht="15" thickBot="1" x14ac:dyDescent="0.35">
      <c r="A48" s="7"/>
      <c r="B48" s="57"/>
      <c r="C48" s="20"/>
      <c r="D48" s="20"/>
      <c r="E48" s="20"/>
      <c r="F48" s="75"/>
      <c r="G48" s="7"/>
    </row>
    <row r="49" spans="1:7" ht="15.6" thickTop="1" thickBot="1" x14ac:dyDescent="0.35">
      <c r="A49" s="7"/>
      <c r="B49" s="57"/>
      <c r="C49" s="7"/>
      <c r="D49" s="140" t="s">
        <v>133</v>
      </c>
      <c r="E49" s="171" t="e">
        <f>D42-D46</f>
        <v>#VALUE!</v>
      </c>
      <c r="F49" s="75"/>
      <c r="G49" s="7"/>
    </row>
    <row r="50" spans="1:7" ht="15" thickTop="1" x14ac:dyDescent="0.3">
      <c r="A50" s="7"/>
      <c r="B50" s="58"/>
      <c r="C50" s="7"/>
      <c r="D50" s="7"/>
      <c r="E50" s="7"/>
      <c r="F50" s="75"/>
      <c r="G50" s="7"/>
    </row>
    <row r="51" spans="1:7" ht="15" thickBot="1" x14ac:dyDescent="0.35">
      <c r="A51" s="7"/>
      <c r="B51" s="175"/>
      <c r="C51" s="82"/>
      <c r="D51" s="82"/>
      <c r="E51" s="82"/>
      <c r="F51" s="82"/>
      <c r="G51" s="7"/>
    </row>
    <row r="52" spans="1:7" ht="19.2" thickTop="1" thickBot="1" x14ac:dyDescent="0.35">
      <c r="A52" s="7"/>
      <c r="B52" s="7"/>
      <c r="C52" s="7"/>
      <c r="D52" s="94" t="s">
        <v>132</v>
      </c>
      <c r="E52" s="93" t="e">
        <f>ROUND(E49,-2)</f>
        <v>#VALUE!</v>
      </c>
      <c r="F52" s="7"/>
      <c r="G52" s="7"/>
    </row>
    <row r="53" spans="1:7" ht="15" thickTop="1" x14ac:dyDescent="0.3">
      <c r="A53" s="7"/>
      <c r="B53" s="7"/>
      <c r="C53" s="7"/>
      <c r="D53" s="7"/>
      <c r="E53" s="7"/>
      <c r="F53" s="7"/>
      <c r="G53" s="7"/>
    </row>
  </sheetData>
  <mergeCells count="14">
    <mergeCell ref="C45:E45"/>
    <mergeCell ref="C32:E32"/>
    <mergeCell ref="C41:E41"/>
    <mergeCell ref="C43:E43"/>
    <mergeCell ref="C17:E17"/>
    <mergeCell ref="D18:E18"/>
    <mergeCell ref="C19:E19"/>
    <mergeCell ref="C23:E23"/>
    <mergeCell ref="C12:E12"/>
    <mergeCell ref="D10:E10"/>
    <mergeCell ref="C2:E2"/>
    <mergeCell ref="D5:E5"/>
    <mergeCell ref="D6:E6"/>
    <mergeCell ref="D7:E7"/>
  </mergeCells>
  <conditionalFormatting sqref="B51:E51">
    <cfRule type="expression" dxfId="155" priority="36">
      <formula>"($C$15='NO')"</formula>
    </cfRule>
  </conditionalFormatting>
  <conditionalFormatting sqref="B15:F18 B19 F19 B40:F42 B34:C39 F34:F39 B20:F33 B47:F50 F43:F46">
    <cfRule type="expression" dxfId="154" priority="19">
      <formula>#REF!="NO"</formula>
    </cfRule>
  </conditionalFormatting>
  <conditionalFormatting sqref="D52">
    <cfRule type="expression" dxfId="153" priority="16">
      <formula>#REF!="NO"</formula>
    </cfRule>
  </conditionalFormatting>
  <conditionalFormatting sqref="D52">
    <cfRule type="expression" dxfId="152" priority="15">
      <formula>"($C$15='NO')"</formula>
    </cfRule>
  </conditionalFormatting>
  <conditionalFormatting sqref="E52">
    <cfRule type="expression" dxfId="151" priority="13">
      <formula>#REF!="NO"</formula>
    </cfRule>
  </conditionalFormatting>
  <conditionalFormatting sqref="E52">
    <cfRule type="expression" dxfId="150" priority="14">
      <formula>"($C$15='NO')"</formula>
    </cfRule>
  </conditionalFormatting>
  <conditionalFormatting sqref="C19:E19">
    <cfRule type="expression" dxfId="149" priority="8">
      <formula>#REF!="NO"</formula>
    </cfRule>
  </conditionalFormatting>
  <conditionalFormatting sqref="D44:E44 E46 B46:C46">
    <cfRule type="expression" dxfId="148" priority="4">
      <formula>$D$16="NO"</formula>
    </cfRule>
  </conditionalFormatting>
  <conditionalFormatting sqref="B45">
    <cfRule type="expression" dxfId="147" priority="3">
      <formula>$D$16="NO"</formula>
    </cfRule>
  </conditionalFormatting>
  <conditionalFormatting sqref="D46">
    <cfRule type="expression" dxfId="146" priority="1">
      <formula>$D$16="NO"</formula>
    </cfRule>
  </conditionalFormatting>
  <conditionalFormatting sqref="C45">
    <cfRule type="expression" dxfId="145" priority="2">
      <formula>$D$16="NO"</formula>
    </cfRule>
  </conditionalFormatting>
  <conditionalFormatting sqref="B44:C44">
    <cfRule type="expression" dxfId="144" priority="7">
      <formula>$D$16="NO"</formula>
    </cfRule>
  </conditionalFormatting>
  <conditionalFormatting sqref="B43">
    <cfRule type="expression" dxfId="143" priority="6">
      <formula>$D$16="NO"</formula>
    </cfRule>
  </conditionalFormatting>
  <conditionalFormatting sqref="C43">
    <cfRule type="expression" dxfId="142" priority="5">
      <formula>$D$16="NO"</formula>
    </cfRule>
  </conditionalFormatting>
  <dataValidations count="2">
    <dataValidation showInputMessage="1" showErrorMessage="1" promptTitle="Increased Maintenance" sqref="D18:E18"/>
    <dataValidation showInputMessage="1" showErrorMessage="1" sqref="D13"/>
  </dataValidations>
  <pageMargins left="0.7" right="0.7" top="0.75" bottom="0.75" header="0.3" footer="0.3"/>
  <pageSetup scale="90" orientation="portrait" r:id="rId1"/>
  <colBreaks count="1" manualBreakCount="1">
    <brk id="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5" tint="0.39997558519241921"/>
  </sheetPr>
  <dimension ref="B1:U139"/>
  <sheetViews>
    <sheetView zoomScale="85" zoomScaleNormal="85" zoomScaleSheetLayoutView="85" workbookViewId="0">
      <selection activeCell="F6" sqref="F6:G6"/>
    </sheetView>
  </sheetViews>
  <sheetFormatPr defaultColWidth="8.88671875" defaultRowHeight="14.4" x14ac:dyDescent="0.3"/>
  <cols>
    <col min="1" max="1" width="1.6640625" style="4" customWidth="1"/>
    <col min="2" max="2" width="2.109375" style="4" customWidth="1"/>
    <col min="3" max="3" width="9.88671875" style="4" customWidth="1"/>
    <col min="4" max="4" width="13.88671875" style="4" customWidth="1"/>
    <col min="5" max="5" width="28.88671875" style="4" customWidth="1"/>
    <col min="6" max="6" width="17.88671875" style="4" customWidth="1"/>
    <col min="7" max="7" width="22.6640625" style="4" customWidth="1"/>
    <col min="8" max="8" width="14" style="4" customWidth="1"/>
    <col min="9" max="9" width="12" style="4" customWidth="1"/>
    <col min="10" max="10" width="1.33203125" style="4" customWidth="1"/>
    <col min="11" max="11" width="8.88671875" style="4" hidden="1" customWidth="1"/>
    <col min="12" max="16384" width="8.88671875" style="4"/>
  </cols>
  <sheetData>
    <row r="1" spans="2:12" x14ac:dyDescent="0.3">
      <c r="C1" s="428"/>
      <c r="D1" s="429" t="s">
        <v>488</v>
      </c>
      <c r="E1" s="429"/>
      <c r="F1" s="429"/>
      <c r="G1" s="429"/>
      <c r="H1" s="429"/>
    </row>
    <row r="2" spans="2:12" ht="31.2" customHeight="1" x14ac:dyDescent="0.3">
      <c r="C2" s="428"/>
      <c r="D2" s="316" t="s">
        <v>645</v>
      </c>
      <c r="E2" s="316"/>
      <c r="F2" s="316"/>
      <c r="G2" s="316"/>
      <c r="H2" s="316"/>
    </row>
    <row r="3" spans="2:12" ht="14.4" customHeight="1" x14ac:dyDescent="0.3">
      <c r="B3" s="7"/>
      <c r="C3" s="7"/>
      <c r="D3" s="377" t="s">
        <v>288</v>
      </c>
      <c r="E3" s="377"/>
      <c r="F3" s="377"/>
      <c r="G3" s="117"/>
      <c r="H3" s="117"/>
    </row>
    <row r="4" spans="2:12" ht="14.4" customHeight="1" x14ac:dyDescent="0.3">
      <c r="B4" s="7"/>
      <c r="C4" s="7"/>
      <c r="D4" s="119"/>
      <c r="E4" s="119"/>
      <c r="F4" s="119"/>
      <c r="G4" s="117"/>
      <c r="H4" s="117"/>
    </row>
    <row r="5" spans="2:12" ht="14.4" customHeight="1" x14ac:dyDescent="0.3">
      <c r="B5" s="7"/>
      <c r="D5" s="7"/>
      <c r="E5" s="20" t="s">
        <v>2</v>
      </c>
      <c r="F5" s="380" t="str">
        <f>IF('Project Information'!E5=0, "-",'Project Information'!E5)</f>
        <v>-</v>
      </c>
      <c r="G5" s="380"/>
      <c r="H5" s="117"/>
    </row>
    <row r="6" spans="2:12" ht="14.4" customHeight="1" x14ac:dyDescent="0.3">
      <c r="B6" s="7"/>
      <c r="D6" s="7"/>
      <c r="E6" s="20" t="s">
        <v>0</v>
      </c>
      <c r="F6" s="380" t="str">
        <f>IF('Project Information'!E6=0, "-",'Project Information'!E6)</f>
        <v>-</v>
      </c>
      <c r="G6" s="380"/>
      <c r="H6" s="117"/>
    </row>
    <row r="7" spans="2:12" ht="14.4" customHeight="1" x14ac:dyDescent="0.3">
      <c r="B7" s="7"/>
      <c r="D7" s="7"/>
      <c r="E7" s="20" t="s">
        <v>160</v>
      </c>
      <c r="F7" s="380" t="str">
        <f>IF('Project Information'!E7=0, "-",'Project Information'!E7)</f>
        <v>-</v>
      </c>
      <c r="G7" s="380"/>
      <c r="H7" s="117"/>
    </row>
    <row r="8" spans="2:12" ht="14.4" customHeight="1" x14ac:dyDescent="0.3">
      <c r="B8" s="7"/>
      <c r="D8" s="7"/>
      <c r="E8" s="20"/>
      <c r="F8" s="117"/>
      <c r="G8" s="117"/>
      <c r="H8" s="117"/>
    </row>
    <row r="9" spans="2:12" ht="14.4" customHeight="1" x14ac:dyDescent="0.3">
      <c r="B9" s="7"/>
      <c r="D9" s="7"/>
      <c r="E9" s="7"/>
      <c r="F9" s="20"/>
      <c r="G9" s="7"/>
      <c r="H9" s="117"/>
    </row>
    <row r="10" spans="2:12" ht="46.5" customHeight="1" x14ac:dyDescent="0.3">
      <c r="B10" s="7"/>
      <c r="C10" s="50">
        <v>1</v>
      </c>
      <c r="D10" s="317" t="s">
        <v>327</v>
      </c>
      <c r="E10" s="430"/>
      <c r="F10" s="366"/>
      <c r="G10" s="368"/>
      <c r="H10" s="296"/>
      <c r="I10" s="297"/>
    </row>
    <row r="11" spans="2:12" ht="14.4" customHeight="1" x14ac:dyDescent="0.3">
      <c r="B11" s="7"/>
      <c r="C11" s="50"/>
      <c r="E11" s="21"/>
      <c r="F11" s="46"/>
      <c r="G11" s="7"/>
      <c r="H11" s="117"/>
    </row>
    <row r="12" spans="2:12" ht="26.4" customHeight="1" x14ac:dyDescent="0.3">
      <c r="B12" s="7"/>
      <c r="C12" s="50">
        <v>2</v>
      </c>
      <c r="D12" s="377" t="s">
        <v>646</v>
      </c>
      <c r="E12" s="377"/>
      <c r="F12" s="377"/>
      <c r="G12" s="377"/>
      <c r="H12" s="117"/>
      <c r="L12" s="225"/>
    </row>
    <row r="13" spans="2:12" ht="14.4" customHeight="1" x14ac:dyDescent="0.3">
      <c r="B13" s="7"/>
      <c r="C13" s="50"/>
      <c r="E13" s="20" t="s">
        <v>647</v>
      </c>
      <c r="F13" s="405" t="str">
        <f>H33</f>
        <v>WARRANTED</v>
      </c>
      <c r="G13" s="406"/>
      <c r="H13" s="117"/>
      <c r="I13" s="101"/>
      <c r="L13" s="225"/>
    </row>
    <row r="14" spans="2:12" ht="14.4" customHeight="1" x14ac:dyDescent="0.3">
      <c r="B14" s="7"/>
      <c r="C14" s="50"/>
      <c r="E14" s="20" t="s">
        <v>648</v>
      </c>
      <c r="F14" s="405" t="str">
        <f>H48</f>
        <v>NOT WARRANTED</v>
      </c>
      <c r="G14" s="406"/>
      <c r="H14" s="117"/>
      <c r="I14" s="101"/>
      <c r="L14" s="219"/>
    </row>
    <row r="15" spans="2:12" ht="14.4" customHeight="1" x14ac:dyDescent="0.3">
      <c r="B15" s="7"/>
      <c r="C15" s="50"/>
      <c r="E15" s="20" t="s">
        <v>649</v>
      </c>
      <c r="F15" s="405" t="str">
        <f>H57</f>
        <v>NOT WARRANTED</v>
      </c>
      <c r="G15" s="406"/>
      <c r="H15" s="117"/>
      <c r="I15" s="101"/>
      <c r="L15" s="219"/>
    </row>
    <row r="16" spans="2:12" ht="14.4" customHeight="1" x14ac:dyDescent="0.3">
      <c r="B16" s="7"/>
      <c r="C16" s="50"/>
      <c r="E16" s="20" t="s">
        <v>650</v>
      </c>
      <c r="F16" s="405" t="str">
        <f>H68</f>
        <v>NOT WARRANTED</v>
      </c>
      <c r="G16" s="406"/>
      <c r="H16" s="117"/>
      <c r="I16" s="101"/>
    </row>
    <row r="17" spans="2:21" ht="14.4" hidden="1" customHeight="1" x14ac:dyDescent="0.3">
      <c r="B17" s="7"/>
      <c r="C17" s="50"/>
      <c r="E17" s="20" t="s">
        <v>289</v>
      </c>
      <c r="F17" s="405" t="str">
        <f>H77</f>
        <v>NOT WARRANTED</v>
      </c>
      <c r="G17" s="406"/>
      <c r="H17" s="117"/>
      <c r="I17" s="101"/>
    </row>
    <row r="18" spans="2:21" ht="14.4" hidden="1" customHeight="1" x14ac:dyDescent="0.3">
      <c r="B18" s="7"/>
      <c r="C18" s="50"/>
      <c r="E18" s="20" t="s">
        <v>290</v>
      </c>
      <c r="F18" s="405" t="str">
        <f>H85</f>
        <v>NOT WARRANTED</v>
      </c>
      <c r="G18" s="406"/>
      <c r="H18" s="117"/>
      <c r="I18" s="101"/>
    </row>
    <row r="19" spans="2:21" ht="14.4" customHeight="1" x14ac:dyDescent="0.3">
      <c r="B19" s="7"/>
      <c r="C19" s="50"/>
      <c r="E19" s="21"/>
      <c r="F19" s="46"/>
      <c r="G19" s="7"/>
      <c r="H19" s="117"/>
    </row>
    <row r="20" spans="2:21" ht="14.4" customHeight="1" x14ac:dyDescent="0.3">
      <c r="B20" s="85" t="s">
        <v>651</v>
      </c>
      <c r="C20" s="115"/>
      <c r="D20" s="117"/>
      <c r="E20" s="117"/>
      <c r="F20" s="117"/>
      <c r="G20" s="117"/>
      <c r="H20" s="117"/>
      <c r="I20" s="101"/>
      <c r="L20" s="101"/>
    </row>
    <row r="21" spans="2:21" ht="27.6" customHeight="1" x14ac:dyDescent="0.3">
      <c r="B21" s="395" t="s">
        <v>652</v>
      </c>
      <c r="C21" s="395"/>
      <c r="D21" s="395"/>
      <c r="E21" s="395"/>
      <c r="F21" s="395"/>
      <c r="G21" s="395"/>
      <c r="H21" s="395"/>
      <c r="I21" s="395"/>
      <c r="J21" s="395"/>
    </row>
    <row r="22" spans="2:21" ht="6" customHeight="1" x14ac:dyDescent="0.3">
      <c r="B22" s="81"/>
      <c r="C22" s="82"/>
      <c r="D22" s="82"/>
      <c r="E22" s="82"/>
      <c r="F22" s="82"/>
      <c r="G22" s="82"/>
      <c r="H22" s="82"/>
      <c r="I22" s="83"/>
      <c r="J22" s="84"/>
      <c r="K22" s="15"/>
      <c r="L22" s="15"/>
      <c r="M22" s="15"/>
      <c r="N22" s="15"/>
      <c r="O22" s="15"/>
      <c r="P22" s="15"/>
      <c r="Q22" s="15"/>
      <c r="R22" s="15"/>
      <c r="S22" s="15"/>
      <c r="T22" s="15"/>
      <c r="U22" s="15"/>
    </row>
    <row r="23" spans="2:21" x14ac:dyDescent="0.3">
      <c r="B23" s="58"/>
      <c r="C23" s="79" t="s">
        <v>653</v>
      </c>
      <c r="D23" s="79"/>
      <c r="E23" s="79"/>
      <c r="F23" s="78"/>
      <c r="G23" s="78"/>
      <c r="H23" s="78"/>
      <c r="I23" s="15"/>
      <c r="J23" s="68"/>
      <c r="K23" s="15"/>
      <c r="L23" s="102"/>
      <c r="M23" s="15"/>
      <c r="N23" s="15"/>
      <c r="O23" s="15"/>
      <c r="P23" s="15"/>
      <c r="Q23" s="15"/>
      <c r="R23" s="15"/>
      <c r="S23" s="15"/>
      <c r="T23" s="15"/>
      <c r="U23" s="15"/>
    </row>
    <row r="24" spans="2:21" ht="5.4" customHeight="1" x14ac:dyDescent="0.3">
      <c r="B24" s="58"/>
      <c r="C24" s="73"/>
      <c r="D24" s="73"/>
      <c r="E24" s="73"/>
      <c r="F24" s="121"/>
      <c r="G24" s="121"/>
      <c r="H24" s="121"/>
      <c r="I24" s="15"/>
      <c r="J24" s="68"/>
      <c r="K24" s="15"/>
      <c r="L24" s="15"/>
      <c r="M24" s="15"/>
      <c r="N24" s="15"/>
      <c r="O24" s="15"/>
      <c r="P24" s="15"/>
      <c r="Q24" s="15"/>
      <c r="R24" s="15"/>
      <c r="S24" s="15"/>
      <c r="T24" s="15"/>
      <c r="U24" s="15"/>
    </row>
    <row r="25" spans="2:21" x14ac:dyDescent="0.3">
      <c r="B25" s="58"/>
      <c r="C25" s="414" t="s">
        <v>263</v>
      </c>
      <c r="D25" s="415"/>
      <c r="E25" s="415"/>
      <c r="F25" s="415"/>
      <c r="G25" s="415"/>
      <c r="H25" s="416"/>
      <c r="I25" s="52" t="s">
        <v>262</v>
      </c>
      <c r="J25" s="75"/>
      <c r="K25" s="15"/>
      <c r="L25" s="15"/>
      <c r="M25" s="15"/>
      <c r="N25" s="15"/>
      <c r="O25" s="15"/>
      <c r="P25" s="15"/>
      <c r="Q25" s="15"/>
      <c r="R25" s="15"/>
      <c r="S25" s="15"/>
      <c r="T25" s="15"/>
      <c r="U25" s="15"/>
    </row>
    <row r="26" spans="2:21" ht="48.75" customHeight="1" x14ac:dyDescent="0.3">
      <c r="B26" s="58"/>
      <c r="C26" s="52">
        <v>1</v>
      </c>
      <c r="D26" s="411" t="s">
        <v>264</v>
      </c>
      <c r="E26" s="412"/>
      <c r="F26" s="412"/>
      <c r="G26" s="412"/>
      <c r="H26" s="413"/>
      <c r="I26" s="118" t="s">
        <v>4</v>
      </c>
      <c r="J26" s="75"/>
      <c r="K26" s="128"/>
      <c r="L26" s="102"/>
      <c r="M26" s="15"/>
      <c r="N26" s="15"/>
      <c r="O26" s="15"/>
      <c r="P26" s="15"/>
      <c r="Q26" s="15"/>
      <c r="R26" s="15"/>
      <c r="S26" s="15"/>
      <c r="T26" s="15"/>
      <c r="U26" s="15"/>
    </row>
    <row r="27" spans="2:21" x14ac:dyDescent="0.3">
      <c r="B27" s="58"/>
      <c r="C27" s="52">
        <v>2</v>
      </c>
      <c r="D27" s="414" t="s">
        <v>265</v>
      </c>
      <c r="E27" s="415"/>
      <c r="F27" s="415"/>
      <c r="G27" s="415"/>
      <c r="H27" s="416"/>
      <c r="I27" s="118"/>
      <c r="J27" s="75"/>
      <c r="K27" s="15"/>
      <c r="L27" s="15"/>
      <c r="M27" s="15"/>
      <c r="N27" s="15"/>
      <c r="O27" s="15"/>
      <c r="P27" s="15"/>
      <c r="Q27" s="15"/>
      <c r="R27" s="15"/>
      <c r="S27" s="15"/>
      <c r="T27" s="15"/>
      <c r="U27" s="15"/>
    </row>
    <row r="28" spans="2:21" ht="36" customHeight="1" x14ac:dyDescent="0.3">
      <c r="B28" s="58"/>
      <c r="C28" s="52">
        <v>3</v>
      </c>
      <c r="D28" s="411" t="s">
        <v>266</v>
      </c>
      <c r="E28" s="412"/>
      <c r="F28" s="412"/>
      <c r="G28" s="412"/>
      <c r="H28" s="413"/>
      <c r="I28" s="118"/>
      <c r="J28" s="75"/>
      <c r="K28" s="15"/>
      <c r="L28" s="15"/>
      <c r="M28" s="15"/>
      <c r="N28" s="15"/>
      <c r="O28" s="15"/>
      <c r="P28" s="15"/>
      <c r="Q28" s="15"/>
      <c r="R28" s="15"/>
      <c r="S28" s="15"/>
      <c r="T28" s="15"/>
      <c r="U28" s="15"/>
    </row>
    <row r="29" spans="2:21" ht="30.75" customHeight="1" x14ac:dyDescent="0.3">
      <c r="B29" s="58"/>
      <c r="C29" s="52">
        <v>4</v>
      </c>
      <c r="D29" s="411" t="s">
        <v>477</v>
      </c>
      <c r="E29" s="412"/>
      <c r="F29" s="412"/>
      <c r="G29" s="412"/>
      <c r="H29" s="413"/>
      <c r="I29" s="118"/>
      <c r="J29" s="75"/>
      <c r="K29" s="111"/>
      <c r="L29" s="218"/>
      <c r="M29" s="111"/>
      <c r="N29" s="111"/>
      <c r="O29" s="111"/>
      <c r="P29" s="15"/>
      <c r="Q29" s="15"/>
      <c r="R29" s="15"/>
      <c r="S29" s="15"/>
      <c r="T29" s="15"/>
      <c r="U29" s="15"/>
    </row>
    <row r="30" spans="2:21" ht="28.2" customHeight="1" x14ac:dyDescent="0.3">
      <c r="B30" s="58"/>
      <c r="C30" s="52">
        <v>5</v>
      </c>
      <c r="D30" s="411" t="s">
        <v>267</v>
      </c>
      <c r="E30" s="412"/>
      <c r="F30" s="412"/>
      <c r="G30" s="412"/>
      <c r="H30" s="413"/>
      <c r="I30" s="118"/>
      <c r="J30" s="75"/>
      <c r="K30" s="47"/>
      <c r="L30" s="217"/>
      <c r="M30" s="111"/>
      <c r="N30" s="111"/>
      <c r="O30" s="111"/>
      <c r="P30" s="15"/>
      <c r="Q30" s="15"/>
      <c r="R30" s="15"/>
      <c r="S30" s="15"/>
      <c r="T30" s="15"/>
      <c r="U30" s="15"/>
    </row>
    <row r="31" spans="2:21" x14ac:dyDescent="0.3">
      <c r="B31" s="58"/>
      <c r="C31" s="52">
        <v>6</v>
      </c>
      <c r="D31" s="414" t="s">
        <v>268</v>
      </c>
      <c r="E31" s="415"/>
      <c r="F31" s="415"/>
      <c r="G31" s="415"/>
      <c r="H31" s="416"/>
      <c r="I31" s="118"/>
      <c r="J31" s="75"/>
      <c r="K31" s="47"/>
      <c r="L31" s="111"/>
      <c r="M31" s="111"/>
      <c r="N31" s="111"/>
      <c r="O31" s="111"/>
      <c r="P31" s="15"/>
      <c r="Q31" s="15"/>
      <c r="R31" s="15"/>
      <c r="S31" s="15"/>
      <c r="T31" s="15"/>
      <c r="U31" s="15"/>
    </row>
    <row r="32" spans="2:21" ht="28.95" customHeight="1" thickBot="1" x14ac:dyDescent="0.35">
      <c r="B32" s="58"/>
      <c r="C32" s="67">
        <v>7</v>
      </c>
      <c r="D32" s="425" t="s">
        <v>478</v>
      </c>
      <c r="E32" s="426"/>
      <c r="F32" s="426"/>
      <c r="G32" s="426"/>
      <c r="H32" s="427"/>
      <c r="I32" s="80"/>
      <c r="J32" s="75"/>
      <c r="K32" s="47"/>
      <c r="L32" s="218"/>
      <c r="M32" s="111"/>
      <c r="N32" s="111"/>
      <c r="O32" s="111"/>
      <c r="P32" s="15"/>
      <c r="Q32" s="15"/>
      <c r="R32" s="15"/>
      <c r="S32" s="15"/>
      <c r="T32" s="15"/>
      <c r="U32" s="15"/>
    </row>
    <row r="33" spans="2:21" ht="19.2" customHeight="1" thickTop="1" thickBot="1" x14ac:dyDescent="0.35">
      <c r="B33" s="58"/>
      <c r="C33" s="417" t="s">
        <v>655</v>
      </c>
      <c r="D33" s="417"/>
      <c r="E33" s="417"/>
      <c r="F33" s="417"/>
      <c r="G33" s="418"/>
      <c r="H33" s="422" t="str">
        <f>IF(OR(I26="YES",I30="YES",I31="YES",I32="YES"),"WARRANTED", IF(OR(I27="YES",I28="YES",I29="YES"), "PARTIALLY WARRANTED","NOT WARRANTED"))</f>
        <v>WARRANTED</v>
      </c>
      <c r="I33" s="423"/>
      <c r="J33" s="69"/>
      <c r="K33" s="111"/>
      <c r="L33" s="111"/>
      <c r="M33" s="111"/>
      <c r="N33" s="111"/>
      <c r="O33" s="111"/>
      <c r="P33" s="15"/>
      <c r="Q33" s="15"/>
      <c r="R33" s="15"/>
      <c r="S33" s="15"/>
      <c r="T33" s="15"/>
      <c r="U33" s="15"/>
    </row>
    <row r="34" spans="2:21" ht="5.4" customHeight="1" thickTop="1" x14ac:dyDescent="0.3">
      <c r="B34" s="60"/>
      <c r="C34" s="70"/>
      <c r="D34" s="70"/>
      <c r="E34" s="70"/>
      <c r="F34" s="70"/>
      <c r="G34" s="70"/>
      <c r="H34" s="70"/>
      <c r="I34" s="76"/>
      <c r="J34" s="77"/>
      <c r="K34" s="111"/>
      <c r="L34" s="111"/>
      <c r="M34" s="111"/>
      <c r="N34" s="111"/>
      <c r="O34" s="111"/>
      <c r="P34" s="15"/>
      <c r="Q34" s="15"/>
      <c r="R34" s="15"/>
      <c r="S34" s="15"/>
      <c r="T34" s="15"/>
      <c r="U34" s="15"/>
    </row>
    <row r="35" spans="2:21" x14ac:dyDescent="0.3">
      <c r="B35" s="7"/>
      <c r="C35" s="15"/>
      <c r="D35" s="15"/>
      <c r="E35" s="15"/>
      <c r="F35" s="15"/>
      <c r="G35" s="15"/>
      <c r="H35" s="15"/>
      <c r="I35" s="111"/>
      <c r="J35" s="111"/>
      <c r="K35" s="111"/>
      <c r="L35" s="111"/>
      <c r="M35" s="111"/>
      <c r="N35" s="111"/>
      <c r="O35" s="111"/>
      <c r="P35" s="15"/>
      <c r="Q35" s="15"/>
      <c r="R35" s="15"/>
      <c r="S35" s="15"/>
      <c r="T35" s="15"/>
      <c r="U35" s="15"/>
    </row>
    <row r="36" spans="2:21" ht="7.95" customHeight="1" x14ac:dyDescent="0.3">
      <c r="B36" s="81"/>
      <c r="C36" s="83"/>
      <c r="D36" s="83"/>
      <c r="E36" s="83"/>
      <c r="F36" s="83"/>
      <c r="G36" s="83"/>
      <c r="H36" s="83"/>
      <c r="I36" s="83"/>
      <c r="J36" s="84"/>
      <c r="K36" s="15"/>
      <c r="L36" s="15"/>
      <c r="M36" s="15"/>
      <c r="N36" s="15"/>
      <c r="O36" s="15"/>
      <c r="P36" s="15"/>
      <c r="Q36" s="15"/>
      <c r="R36" s="15"/>
      <c r="S36" s="15"/>
      <c r="T36" s="15"/>
      <c r="U36" s="15"/>
    </row>
    <row r="37" spans="2:21" x14ac:dyDescent="0.3">
      <c r="B37" s="58"/>
      <c r="C37" s="79" t="s">
        <v>654</v>
      </c>
      <c r="D37" s="79"/>
      <c r="E37" s="79"/>
      <c r="F37" s="79"/>
      <c r="G37" s="79"/>
      <c r="H37" s="79"/>
      <c r="I37" s="79"/>
      <c r="J37" s="68"/>
      <c r="K37" s="15"/>
      <c r="L37" s="15"/>
      <c r="M37" s="15"/>
      <c r="N37" s="15"/>
      <c r="O37" s="15"/>
      <c r="P37" s="15"/>
      <c r="Q37" s="15"/>
      <c r="R37" s="15"/>
      <c r="S37" s="15"/>
      <c r="T37" s="15"/>
      <c r="U37" s="15"/>
    </row>
    <row r="38" spans="2:21" ht="4.95" customHeight="1" x14ac:dyDescent="0.3">
      <c r="B38" s="58"/>
      <c r="C38" s="79"/>
      <c r="D38" s="79"/>
      <c r="E38" s="79"/>
      <c r="F38" s="79"/>
      <c r="G38" s="79"/>
      <c r="H38" s="79"/>
      <c r="I38" s="79"/>
      <c r="J38" s="68"/>
      <c r="K38" s="15"/>
      <c r="L38" s="15"/>
      <c r="M38" s="15"/>
      <c r="N38" s="15"/>
      <c r="O38" s="15"/>
      <c r="P38" s="15"/>
      <c r="Q38" s="15"/>
      <c r="R38" s="15"/>
      <c r="S38" s="15"/>
      <c r="T38" s="15"/>
      <c r="U38" s="15"/>
    </row>
    <row r="39" spans="2:21" ht="14.4" customHeight="1" x14ac:dyDescent="0.3">
      <c r="B39" s="58"/>
      <c r="C39" s="414" t="s">
        <v>263</v>
      </c>
      <c r="D39" s="415"/>
      <c r="E39" s="415"/>
      <c r="F39" s="415"/>
      <c r="G39" s="415"/>
      <c r="H39" s="416"/>
      <c r="I39" s="52" t="s">
        <v>262</v>
      </c>
      <c r="J39" s="68"/>
      <c r="K39" s="15"/>
      <c r="L39" s="15"/>
      <c r="M39" s="15"/>
      <c r="N39" s="15"/>
      <c r="O39" s="15"/>
      <c r="P39" s="15"/>
      <c r="Q39" s="15"/>
      <c r="R39" s="15"/>
      <c r="S39" s="15"/>
      <c r="T39" s="15"/>
      <c r="U39" s="15"/>
    </row>
    <row r="40" spans="2:21" ht="31.95" customHeight="1" x14ac:dyDescent="0.3">
      <c r="B40" s="58"/>
      <c r="C40" s="67">
        <v>1</v>
      </c>
      <c r="D40" s="411" t="s">
        <v>470</v>
      </c>
      <c r="E40" s="412"/>
      <c r="F40" s="412"/>
      <c r="G40" s="412"/>
      <c r="H40" s="413"/>
      <c r="I40" s="118"/>
      <c r="J40" s="68"/>
      <c r="K40" s="15"/>
      <c r="L40" s="218"/>
      <c r="M40" s="15"/>
      <c r="N40" s="15"/>
      <c r="O40" s="15"/>
      <c r="P40" s="15"/>
      <c r="Q40" s="15"/>
      <c r="R40" s="15"/>
      <c r="S40" s="15"/>
      <c r="T40" s="15"/>
      <c r="U40" s="15"/>
    </row>
    <row r="41" spans="2:21" ht="30" customHeight="1" x14ac:dyDescent="0.3">
      <c r="B41" s="58"/>
      <c r="C41" s="67">
        <v>2</v>
      </c>
      <c r="D41" s="411" t="s">
        <v>269</v>
      </c>
      <c r="E41" s="412"/>
      <c r="F41" s="412"/>
      <c r="G41" s="412"/>
      <c r="H41" s="413"/>
      <c r="I41" s="118"/>
      <c r="J41" s="68"/>
      <c r="K41" s="15"/>
      <c r="L41" s="15"/>
      <c r="M41" s="15"/>
      <c r="N41" s="15"/>
      <c r="O41" s="15"/>
      <c r="P41" s="15"/>
      <c r="Q41" s="15"/>
      <c r="R41" s="15"/>
      <c r="S41" s="15"/>
      <c r="T41" s="15"/>
      <c r="U41" s="15"/>
    </row>
    <row r="42" spans="2:21" ht="27" customHeight="1" x14ac:dyDescent="0.3">
      <c r="B42" s="58"/>
      <c r="C42" s="67">
        <v>3</v>
      </c>
      <c r="D42" s="411" t="s">
        <v>270</v>
      </c>
      <c r="E42" s="412"/>
      <c r="F42" s="412"/>
      <c r="G42" s="412"/>
      <c r="H42" s="413"/>
      <c r="I42" s="118"/>
      <c r="J42" s="68"/>
      <c r="K42" s="15"/>
      <c r="L42" s="15"/>
      <c r="M42" s="15"/>
      <c r="N42" s="15"/>
      <c r="O42" s="15"/>
      <c r="P42" s="15"/>
      <c r="Q42" s="15"/>
      <c r="R42" s="15"/>
      <c r="S42" s="15"/>
      <c r="T42" s="15"/>
      <c r="U42" s="15"/>
    </row>
    <row r="43" spans="2:21" ht="30" customHeight="1" x14ac:dyDescent="0.3">
      <c r="B43" s="58"/>
      <c r="C43" s="67">
        <v>4</v>
      </c>
      <c r="D43" s="411" t="s">
        <v>271</v>
      </c>
      <c r="E43" s="412"/>
      <c r="F43" s="412"/>
      <c r="G43" s="412"/>
      <c r="H43" s="413"/>
      <c r="I43" s="118"/>
      <c r="J43" s="68"/>
      <c r="K43" s="15"/>
      <c r="L43" s="15"/>
      <c r="M43" s="15"/>
      <c r="N43" s="15"/>
      <c r="O43" s="15"/>
      <c r="P43" s="15"/>
      <c r="Q43" s="15"/>
      <c r="R43" s="15"/>
      <c r="S43" s="15"/>
      <c r="T43" s="15"/>
      <c r="U43" s="15"/>
    </row>
    <row r="44" spans="2:21" ht="14.4" customHeight="1" x14ac:dyDescent="0.3">
      <c r="B44" s="58"/>
      <c r="C44" s="52">
        <v>5</v>
      </c>
      <c r="D44" s="411" t="s">
        <v>272</v>
      </c>
      <c r="E44" s="412"/>
      <c r="F44" s="412"/>
      <c r="G44" s="412"/>
      <c r="H44" s="413"/>
      <c r="I44" s="118"/>
      <c r="J44" s="68"/>
      <c r="K44" s="128"/>
      <c r="L44" s="15"/>
      <c r="M44" s="15"/>
      <c r="N44" s="15"/>
      <c r="O44" s="15"/>
      <c r="P44" s="15"/>
      <c r="Q44" s="15"/>
      <c r="R44" s="15"/>
      <c r="S44" s="15"/>
      <c r="T44" s="15"/>
      <c r="U44" s="15"/>
    </row>
    <row r="45" spans="2:21" ht="29.4" customHeight="1" x14ac:dyDescent="0.3">
      <c r="B45" s="58"/>
      <c r="C45" s="52">
        <v>6</v>
      </c>
      <c r="D45" s="411" t="s">
        <v>273</v>
      </c>
      <c r="E45" s="412"/>
      <c r="F45" s="412"/>
      <c r="G45" s="412"/>
      <c r="H45" s="413"/>
      <c r="I45" s="118"/>
      <c r="J45" s="68"/>
      <c r="K45" s="128"/>
      <c r="L45" s="15"/>
      <c r="M45" s="15"/>
      <c r="N45" s="15"/>
      <c r="O45" s="15"/>
      <c r="P45" s="15"/>
      <c r="Q45" s="15"/>
      <c r="R45" s="15"/>
      <c r="S45" s="15"/>
      <c r="T45" s="15"/>
      <c r="U45" s="15"/>
    </row>
    <row r="46" spans="2:21" ht="29.4" customHeight="1" x14ac:dyDescent="0.3">
      <c r="B46" s="58"/>
      <c r="C46" s="67">
        <v>7</v>
      </c>
      <c r="D46" s="411" t="s">
        <v>328</v>
      </c>
      <c r="E46" s="412"/>
      <c r="F46" s="412"/>
      <c r="G46" s="412"/>
      <c r="H46" s="413"/>
      <c r="I46" s="118"/>
      <c r="J46" s="68"/>
      <c r="K46" s="15"/>
      <c r="L46" s="15"/>
      <c r="M46" s="15"/>
      <c r="N46" s="15"/>
      <c r="O46" s="15"/>
      <c r="P46" s="15"/>
      <c r="Q46" s="15"/>
      <c r="R46" s="15"/>
      <c r="S46" s="15"/>
      <c r="T46" s="15"/>
      <c r="U46" s="15"/>
    </row>
    <row r="47" spans="2:21" ht="28.2" customHeight="1" thickBot="1" x14ac:dyDescent="0.35">
      <c r="B47" s="58"/>
      <c r="C47" s="67">
        <v>8</v>
      </c>
      <c r="D47" s="425" t="s">
        <v>274</v>
      </c>
      <c r="E47" s="426"/>
      <c r="F47" s="426"/>
      <c r="G47" s="426"/>
      <c r="H47" s="427"/>
      <c r="I47" s="118"/>
      <c r="J47" s="68"/>
      <c r="K47" s="15"/>
      <c r="L47" s="15"/>
      <c r="M47" s="15"/>
      <c r="N47" s="15"/>
      <c r="O47" s="15"/>
      <c r="P47" s="15"/>
      <c r="Q47" s="15"/>
      <c r="R47" s="15"/>
      <c r="S47" s="15"/>
      <c r="T47" s="15"/>
      <c r="U47" s="15"/>
    </row>
    <row r="48" spans="2:21" ht="28.2" customHeight="1" thickTop="1" thickBot="1" x14ac:dyDescent="0.35">
      <c r="B48" s="58"/>
      <c r="C48" s="417" t="s">
        <v>656</v>
      </c>
      <c r="D48" s="417"/>
      <c r="E48" s="417"/>
      <c r="F48" s="417"/>
      <c r="G48" s="418"/>
      <c r="H48" s="422" t="str">
        <f>IF(OR(I44="YES",I45="YES"),"WARRANTED", IF(OR(I40="YES",I41="YES",I42="YES",I43="YES",I46="YES",I47="YES"), "PARTIALLY WARRANTED","NOT WARRANTED"))</f>
        <v>NOT WARRANTED</v>
      </c>
      <c r="I48" s="423"/>
      <c r="J48" s="68"/>
      <c r="K48" s="15"/>
      <c r="L48" s="15"/>
      <c r="M48" s="15"/>
      <c r="N48" s="15"/>
      <c r="O48" s="15"/>
      <c r="P48" s="15"/>
      <c r="Q48" s="15"/>
      <c r="R48" s="15"/>
      <c r="S48" s="15"/>
      <c r="T48" s="15"/>
      <c r="U48" s="15"/>
    </row>
    <row r="49" spans="2:21" ht="6" customHeight="1" thickTop="1" x14ac:dyDescent="0.3">
      <c r="B49" s="60"/>
      <c r="C49" s="74"/>
      <c r="D49" s="86"/>
      <c r="E49" s="86"/>
      <c r="F49" s="86"/>
      <c r="G49" s="86"/>
      <c r="H49" s="86"/>
      <c r="I49" s="86"/>
      <c r="J49" s="71"/>
      <c r="K49" s="15"/>
      <c r="L49" s="15"/>
      <c r="M49" s="15"/>
      <c r="N49" s="15"/>
      <c r="O49" s="15"/>
      <c r="P49" s="15"/>
      <c r="Q49" s="15"/>
      <c r="R49" s="15"/>
      <c r="S49" s="15"/>
      <c r="T49" s="15"/>
      <c r="U49" s="15"/>
    </row>
    <row r="50" spans="2:21" ht="16.95" customHeight="1" x14ac:dyDescent="0.3">
      <c r="B50" s="7"/>
      <c r="C50" s="46"/>
      <c r="D50" s="106"/>
      <c r="E50" s="106"/>
      <c r="F50" s="106"/>
      <c r="G50" s="106"/>
      <c r="H50" s="106"/>
      <c r="I50" s="106"/>
      <c r="J50" s="15"/>
      <c r="K50" s="15"/>
      <c r="L50" s="15"/>
      <c r="M50" s="15"/>
      <c r="N50" s="15"/>
      <c r="O50" s="15"/>
      <c r="P50" s="15"/>
      <c r="Q50" s="15"/>
      <c r="R50" s="15"/>
      <c r="S50" s="15"/>
      <c r="T50" s="15"/>
      <c r="U50" s="15"/>
    </row>
    <row r="51" spans="2:21" ht="6.6" customHeight="1" x14ac:dyDescent="0.3">
      <c r="B51" s="81"/>
      <c r="C51" s="83"/>
      <c r="D51" s="83"/>
      <c r="E51" s="83"/>
      <c r="F51" s="83"/>
      <c r="G51" s="83"/>
      <c r="H51" s="83"/>
      <c r="I51" s="83"/>
      <c r="J51" s="84"/>
      <c r="K51" s="15"/>
      <c r="L51" s="15"/>
      <c r="M51" s="15"/>
      <c r="N51" s="15"/>
      <c r="O51" s="15"/>
      <c r="P51" s="15"/>
      <c r="Q51" s="15"/>
      <c r="R51" s="15"/>
      <c r="S51" s="15"/>
      <c r="T51" s="15"/>
      <c r="U51" s="15"/>
    </row>
    <row r="52" spans="2:21" x14ac:dyDescent="0.3">
      <c r="B52" s="58"/>
      <c r="C52" s="78" t="s">
        <v>486</v>
      </c>
      <c r="D52" s="78"/>
      <c r="E52" s="78"/>
      <c r="F52" s="299"/>
      <c r="G52" s="299"/>
      <c r="H52" s="299"/>
      <c r="I52" s="15"/>
      <c r="J52" s="68"/>
      <c r="K52" s="15"/>
      <c r="L52" s="213"/>
      <c r="M52" s="15"/>
      <c r="N52" s="15"/>
      <c r="O52" s="15"/>
      <c r="P52" s="15"/>
      <c r="Q52" s="15"/>
      <c r="R52" s="15"/>
      <c r="S52" s="15"/>
      <c r="T52" s="15"/>
      <c r="U52" s="15"/>
    </row>
    <row r="53" spans="2:21" x14ac:dyDescent="0.3">
      <c r="B53" s="58"/>
      <c r="C53" s="414" t="s">
        <v>263</v>
      </c>
      <c r="D53" s="415"/>
      <c r="E53" s="415"/>
      <c r="F53" s="415"/>
      <c r="G53" s="415"/>
      <c r="H53" s="416"/>
      <c r="I53" s="52" t="s">
        <v>262</v>
      </c>
      <c r="J53" s="68"/>
      <c r="K53" s="15"/>
      <c r="L53" s="216"/>
      <c r="M53" s="15"/>
      <c r="N53" s="15"/>
      <c r="O53" s="15"/>
      <c r="P53" s="15"/>
      <c r="Q53" s="15"/>
      <c r="R53" s="15"/>
      <c r="S53" s="15"/>
      <c r="T53" s="15"/>
      <c r="U53" s="15"/>
    </row>
    <row r="54" spans="2:21" ht="29.4" customHeight="1" x14ac:dyDescent="0.3">
      <c r="B54" s="58"/>
      <c r="C54" s="52">
        <v>1</v>
      </c>
      <c r="D54" s="408" t="s">
        <v>275</v>
      </c>
      <c r="E54" s="409"/>
      <c r="F54" s="409"/>
      <c r="G54" s="409"/>
      <c r="H54" s="410"/>
      <c r="I54" s="118"/>
      <c r="J54" s="68"/>
      <c r="K54" s="128"/>
      <c r="L54" s="15"/>
      <c r="M54" s="15"/>
      <c r="N54" s="15"/>
      <c r="O54" s="15"/>
      <c r="P54" s="15"/>
      <c r="Q54" s="15"/>
      <c r="R54" s="15"/>
      <c r="S54" s="15"/>
      <c r="T54" s="15"/>
      <c r="U54" s="15"/>
    </row>
    <row r="55" spans="2:21" ht="28.2" customHeight="1" x14ac:dyDescent="0.3">
      <c r="B55" s="58"/>
      <c r="C55" s="52">
        <v>2</v>
      </c>
      <c r="D55" s="408" t="s">
        <v>276</v>
      </c>
      <c r="E55" s="409"/>
      <c r="F55" s="409"/>
      <c r="G55" s="409"/>
      <c r="H55" s="410"/>
      <c r="I55" s="118"/>
      <c r="J55" s="68"/>
      <c r="K55" s="15"/>
      <c r="L55" s="15"/>
      <c r="M55" s="15"/>
      <c r="N55" s="15"/>
      <c r="O55" s="15"/>
      <c r="P55" s="15"/>
      <c r="Q55" s="15"/>
      <c r="R55" s="15"/>
      <c r="S55" s="15"/>
      <c r="T55" s="15"/>
      <c r="U55" s="15"/>
    </row>
    <row r="56" spans="2:21" ht="14.4" customHeight="1" thickBot="1" x14ac:dyDescent="0.35">
      <c r="B56" s="58"/>
      <c r="C56" s="52">
        <v>3</v>
      </c>
      <c r="D56" s="419" t="s">
        <v>277</v>
      </c>
      <c r="E56" s="420"/>
      <c r="F56" s="420"/>
      <c r="G56" s="420"/>
      <c r="H56" s="421"/>
      <c r="I56" s="80"/>
      <c r="J56" s="68"/>
      <c r="K56" s="15"/>
      <c r="L56" s="15"/>
      <c r="M56" s="15"/>
      <c r="N56" s="15"/>
      <c r="O56" s="15"/>
      <c r="P56" s="15"/>
      <c r="Q56" s="15"/>
      <c r="R56" s="15"/>
      <c r="S56" s="15"/>
      <c r="T56" s="15"/>
      <c r="U56" s="15"/>
    </row>
    <row r="57" spans="2:21" ht="14.4" customHeight="1" thickTop="1" thickBot="1" x14ac:dyDescent="0.35">
      <c r="B57" s="58"/>
      <c r="C57" s="417" t="s">
        <v>657</v>
      </c>
      <c r="D57" s="417"/>
      <c r="E57" s="417"/>
      <c r="F57" s="417"/>
      <c r="G57" s="418"/>
      <c r="H57" s="422" t="str">
        <f>IF(I54="YES","WARRANTED", IF(AND(I55="YES",I56="YES"), "WARRANTED",IF(OR(I54="YES",I55="YES",I56="YES"), "PARTIALLY WARRANTED","NOT WARRANTED")))</f>
        <v>NOT WARRANTED</v>
      </c>
      <c r="I57" s="423"/>
      <c r="J57" s="68"/>
      <c r="K57" s="15"/>
      <c r="L57" s="15"/>
      <c r="M57" s="15"/>
      <c r="N57" s="15"/>
      <c r="O57" s="15"/>
      <c r="P57" s="15"/>
      <c r="Q57" s="15"/>
      <c r="R57" s="15"/>
      <c r="S57" s="15"/>
      <c r="T57" s="15"/>
      <c r="U57" s="15"/>
    </row>
    <row r="58" spans="2:21" ht="6" customHeight="1" thickTop="1" x14ac:dyDescent="0.3">
      <c r="B58" s="60"/>
      <c r="C58" s="88"/>
      <c r="D58" s="89"/>
      <c r="E58" s="89"/>
      <c r="F58" s="89"/>
      <c r="G58" s="89"/>
      <c r="H58" s="89"/>
      <c r="I58" s="89"/>
      <c r="J58" s="71"/>
      <c r="K58" s="15"/>
      <c r="L58" s="15"/>
      <c r="M58" s="15"/>
      <c r="N58" s="15"/>
      <c r="O58" s="15"/>
      <c r="P58" s="15"/>
      <c r="Q58" s="15"/>
      <c r="R58" s="15"/>
      <c r="S58" s="15"/>
      <c r="T58" s="15"/>
      <c r="U58" s="15"/>
    </row>
    <row r="59" spans="2:21" ht="14.4" customHeight="1" x14ac:dyDescent="0.3">
      <c r="B59" s="7"/>
      <c r="C59" s="113"/>
      <c r="D59" s="107"/>
      <c r="E59" s="107"/>
      <c r="F59" s="107"/>
      <c r="G59" s="107"/>
      <c r="H59" s="107"/>
      <c r="I59" s="107"/>
      <c r="J59" s="15"/>
      <c r="K59" s="15"/>
      <c r="L59" s="15"/>
      <c r="M59" s="15"/>
      <c r="N59" s="15"/>
      <c r="O59" s="15"/>
      <c r="P59" s="15"/>
      <c r="Q59" s="15"/>
      <c r="R59" s="15"/>
      <c r="S59" s="15"/>
      <c r="T59" s="15"/>
      <c r="U59" s="15"/>
    </row>
    <row r="60" spans="2:21" ht="6.6" customHeight="1" x14ac:dyDescent="0.3">
      <c r="B60" s="81"/>
      <c r="C60" s="83"/>
      <c r="D60" s="83"/>
      <c r="E60" s="83"/>
      <c r="F60" s="83"/>
      <c r="G60" s="83"/>
      <c r="H60" s="83"/>
      <c r="I60" s="83"/>
      <c r="J60" s="84"/>
      <c r="K60" s="15"/>
      <c r="L60" s="15"/>
      <c r="M60" s="15"/>
      <c r="N60" s="15"/>
      <c r="O60" s="15"/>
      <c r="P60" s="15"/>
      <c r="Q60" s="15"/>
      <c r="R60" s="15"/>
      <c r="S60" s="15"/>
      <c r="T60" s="15"/>
      <c r="U60" s="15"/>
    </row>
    <row r="61" spans="2:21" x14ac:dyDescent="0.3">
      <c r="B61" s="58"/>
      <c r="C61" s="78" t="s">
        <v>291</v>
      </c>
      <c r="D61" s="78"/>
      <c r="E61" s="78"/>
      <c r="F61" s="407"/>
      <c r="G61" s="407"/>
      <c r="H61" s="407"/>
      <c r="I61" s="15"/>
      <c r="J61" s="68"/>
      <c r="K61" s="15"/>
      <c r="L61" s="15"/>
      <c r="M61" s="15"/>
      <c r="N61" s="15"/>
      <c r="O61" s="15"/>
      <c r="P61" s="15"/>
      <c r="Q61" s="15"/>
      <c r="R61" s="15"/>
      <c r="S61" s="15"/>
      <c r="T61" s="15"/>
      <c r="U61" s="15"/>
    </row>
    <row r="62" spans="2:21" x14ac:dyDescent="0.3">
      <c r="B62" s="58"/>
      <c r="C62" s="414" t="s">
        <v>263</v>
      </c>
      <c r="D62" s="415"/>
      <c r="E62" s="415"/>
      <c r="F62" s="415"/>
      <c r="G62" s="415"/>
      <c r="H62" s="416"/>
      <c r="I62" s="52" t="s">
        <v>262</v>
      </c>
      <c r="J62" s="68"/>
      <c r="K62" s="15"/>
      <c r="L62" s="15"/>
      <c r="M62" s="15"/>
      <c r="N62" s="15"/>
      <c r="O62" s="15"/>
      <c r="P62" s="15"/>
      <c r="Q62" s="15"/>
      <c r="R62" s="15"/>
      <c r="S62" s="15"/>
      <c r="T62" s="15"/>
      <c r="U62" s="15"/>
    </row>
    <row r="63" spans="2:21" ht="28.95" customHeight="1" x14ac:dyDescent="0.3">
      <c r="B63" s="58"/>
      <c r="C63" s="52">
        <v>1</v>
      </c>
      <c r="D63" s="408" t="s">
        <v>278</v>
      </c>
      <c r="E63" s="409"/>
      <c r="F63" s="409"/>
      <c r="G63" s="409"/>
      <c r="H63" s="410"/>
      <c r="I63" s="118"/>
      <c r="J63" s="68"/>
      <c r="K63" s="15"/>
      <c r="L63" s="15"/>
      <c r="M63" s="15"/>
      <c r="N63" s="15"/>
      <c r="O63" s="15"/>
      <c r="P63" s="15"/>
      <c r="Q63" s="15"/>
      <c r="R63" s="15"/>
      <c r="S63" s="15"/>
      <c r="T63" s="15"/>
      <c r="U63" s="15"/>
    </row>
    <row r="64" spans="2:21" ht="28.95" customHeight="1" x14ac:dyDescent="0.3">
      <c r="B64" s="58"/>
      <c r="C64" s="52">
        <v>2</v>
      </c>
      <c r="D64" s="408" t="s">
        <v>279</v>
      </c>
      <c r="E64" s="409"/>
      <c r="F64" s="409"/>
      <c r="G64" s="409"/>
      <c r="H64" s="410"/>
      <c r="I64" s="118"/>
      <c r="J64" s="68"/>
      <c r="K64" s="15"/>
      <c r="L64" s="213"/>
      <c r="M64" s="15"/>
      <c r="N64" s="15"/>
      <c r="O64" s="15"/>
      <c r="P64" s="15"/>
      <c r="Q64" s="15"/>
      <c r="R64" s="15"/>
      <c r="S64" s="15"/>
      <c r="T64" s="15"/>
      <c r="U64" s="15"/>
    </row>
    <row r="65" spans="2:21" ht="14.4" customHeight="1" x14ac:dyDescent="0.3">
      <c r="B65" s="58"/>
      <c r="C65" s="52">
        <v>3</v>
      </c>
      <c r="D65" s="408" t="s">
        <v>280</v>
      </c>
      <c r="E65" s="409"/>
      <c r="F65" s="409"/>
      <c r="G65" s="409"/>
      <c r="H65" s="410"/>
      <c r="I65" s="80"/>
      <c r="J65" s="68"/>
      <c r="K65" s="128"/>
      <c r="L65" s="216"/>
      <c r="M65" s="15"/>
      <c r="N65" s="15"/>
      <c r="O65" s="15"/>
      <c r="P65" s="15"/>
      <c r="Q65" s="15"/>
      <c r="R65" s="15"/>
      <c r="S65" s="15"/>
      <c r="T65" s="15"/>
      <c r="U65" s="15"/>
    </row>
    <row r="66" spans="2:21" ht="32.25" customHeight="1" x14ac:dyDescent="0.3">
      <c r="B66" s="58"/>
      <c r="C66" s="52">
        <v>4</v>
      </c>
      <c r="D66" s="408" t="s">
        <v>281</v>
      </c>
      <c r="E66" s="409"/>
      <c r="F66" s="409"/>
      <c r="G66" s="409"/>
      <c r="H66" s="410"/>
      <c r="I66" s="118"/>
      <c r="J66" s="68"/>
      <c r="K66" s="15"/>
      <c r="L66" s="15"/>
      <c r="M66" s="15"/>
      <c r="N66" s="15"/>
      <c r="O66" s="15"/>
      <c r="P66" s="15"/>
      <c r="Q66" s="15"/>
      <c r="R66" s="15"/>
      <c r="S66" s="15"/>
      <c r="T66" s="15"/>
      <c r="U66" s="15"/>
    </row>
    <row r="67" spans="2:21" ht="27.6" customHeight="1" thickBot="1" x14ac:dyDescent="0.35">
      <c r="B67" s="58"/>
      <c r="C67" s="52">
        <v>5</v>
      </c>
      <c r="D67" s="419" t="s">
        <v>282</v>
      </c>
      <c r="E67" s="420"/>
      <c r="F67" s="420"/>
      <c r="G67" s="420"/>
      <c r="H67" s="421"/>
      <c r="I67" s="80"/>
      <c r="J67" s="68"/>
      <c r="K67" s="15"/>
      <c r="L67" s="15"/>
      <c r="M67" s="15"/>
      <c r="N67" s="15"/>
      <c r="O67" s="15"/>
      <c r="P67" s="15"/>
      <c r="Q67" s="15"/>
      <c r="R67" s="15"/>
      <c r="S67" s="15"/>
      <c r="T67" s="15"/>
      <c r="U67" s="15"/>
    </row>
    <row r="68" spans="2:21" ht="14.4" customHeight="1" thickTop="1" thickBot="1" x14ac:dyDescent="0.35">
      <c r="B68" s="58"/>
      <c r="C68" s="417" t="s">
        <v>658</v>
      </c>
      <c r="D68" s="417"/>
      <c r="E68" s="417"/>
      <c r="F68" s="417"/>
      <c r="G68" s="418"/>
      <c r="H68" s="422" t="str">
        <f>IF(I65="YES", "WARRANTED", IF(AND(I63="YES",I64="YES",I65="YES",I66="YES",I67="YES"),"WARRANTED", IF(OR(I63="YES",I64="YES",I65="YES",I66="YES",I67="YES"), "PARTIALLY WARRANTED","NOT WARRANTED")))</f>
        <v>NOT WARRANTED</v>
      </c>
      <c r="I68" s="423"/>
      <c r="J68" s="68"/>
      <c r="K68" s="15"/>
      <c r="L68" s="15"/>
      <c r="M68" s="15"/>
      <c r="N68" s="15"/>
      <c r="O68" s="15"/>
      <c r="P68" s="15"/>
      <c r="Q68" s="15"/>
      <c r="R68" s="15"/>
      <c r="S68" s="15"/>
      <c r="T68" s="15"/>
      <c r="U68" s="15"/>
    </row>
    <row r="69" spans="2:21" ht="6.6" customHeight="1" thickTop="1" x14ac:dyDescent="0.3">
      <c r="B69" s="60"/>
      <c r="C69" s="88"/>
      <c r="D69" s="90"/>
      <c r="E69" s="90"/>
      <c r="F69" s="90"/>
      <c r="G69" s="90"/>
      <c r="H69" s="90"/>
      <c r="I69" s="90"/>
      <c r="J69" s="71"/>
      <c r="K69" s="15"/>
      <c r="L69" s="15"/>
      <c r="M69" s="15"/>
      <c r="N69" s="15"/>
      <c r="O69" s="15"/>
      <c r="P69" s="15"/>
      <c r="Q69" s="15"/>
      <c r="R69" s="15"/>
      <c r="S69" s="15"/>
      <c r="T69" s="15"/>
      <c r="U69" s="15"/>
    </row>
    <row r="70" spans="2:21" ht="14.4" customHeight="1" x14ac:dyDescent="0.3">
      <c r="B70" s="7"/>
      <c r="C70" s="113"/>
      <c r="D70" s="87"/>
      <c r="E70" s="87"/>
      <c r="F70" s="87"/>
      <c r="G70" s="87"/>
      <c r="H70" s="87"/>
      <c r="I70" s="87"/>
      <c r="J70" s="15"/>
      <c r="K70" s="15"/>
      <c r="L70" s="15"/>
      <c r="M70" s="15"/>
      <c r="N70" s="15"/>
      <c r="O70" s="15"/>
      <c r="P70" s="15"/>
      <c r="Q70" s="15"/>
      <c r="R70" s="15"/>
      <c r="S70" s="15"/>
      <c r="T70" s="15"/>
      <c r="U70" s="15"/>
    </row>
    <row r="71" spans="2:21" ht="6" hidden="1" customHeight="1" x14ac:dyDescent="0.3">
      <c r="B71" s="81"/>
      <c r="C71" s="72"/>
      <c r="D71" s="91"/>
      <c r="E71" s="91"/>
      <c r="F71" s="91"/>
      <c r="G71" s="91"/>
      <c r="H71" s="91"/>
      <c r="I71" s="91"/>
      <c r="J71" s="84"/>
      <c r="K71" s="15"/>
      <c r="L71" s="15"/>
      <c r="M71" s="15"/>
      <c r="N71" s="15"/>
      <c r="O71" s="15"/>
      <c r="P71" s="15"/>
      <c r="Q71" s="15"/>
      <c r="R71" s="15"/>
      <c r="S71" s="15"/>
      <c r="T71" s="15"/>
      <c r="U71" s="15"/>
    </row>
    <row r="72" spans="2:21" hidden="1" x14ac:dyDescent="0.3">
      <c r="B72" s="58"/>
      <c r="C72" s="78" t="s">
        <v>292</v>
      </c>
      <c r="D72" s="78"/>
      <c r="E72" s="78"/>
      <c r="F72" s="407"/>
      <c r="G72" s="407"/>
      <c r="H72" s="407"/>
      <c r="I72" s="15"/>
      <c r="J72" s="68"/>
      <c r="K72" s="15"/>
      <c r="L72" s="15"/>
      <c r="M72" s="15"/>
      <c r="N72" s="15"/>
      <c r="O72" s="15"/>
      <c r="P72" s="15"/>
      <c r="Q72" s="15"/>
      <c r="R72" s="15"/>
      <c r="S72" s="15"/>
      <c r="T72" s="15"/>
      <c r="U72" s="15"/>
    </row>
    <row r="73" spans="2:21" hidden="1" x14ac:dyDescent="0.3">
      <c r="B73" s="58"/>
      <c r="C73" s="414" t="s">
        <v>263</v>
      </c>
      <c r="D73" s="415"/>
      <c r="E73" s="415"/>
      <c r="F73" s="415"/>
      <c r="G73" s="415"/>
      <c r="H73" s="416"/>
      <c r="I73" s="52" t="s">
        <v>262</v>
      </c>
      <c r="J73" s="68"/>
      <c r="K73" s="15"/>
      <c r="L73" s="15"/>
      <c r="M73" s="15"/>
      <c r="N73" s="15"/>
      <c r="O73" s="15"/>
      <c r="P73" s="15"/>
      <c r="Q73" s="15"/>
      <c r="R73" s="15"/>
      <c r="S73" s="15"/>
      <c r="T73" s="15"/>
      <c r="U73" s="15"/>
    </row>
    <row r="74" spans="2:21" hidden="1" x14ac:dyDescent="0.3">
      <c r="B74" s="58"/>
      <c r="C74" s="52">
        <v>1</v>
      </c>
      <c r="D74" s="431" t="s">
        <v>283</v>
      </c>
      <c r="E74" s="432"/>
      <c r="F74" s="432"/>
      <c r="G74" s="432"/>
      <c r="H74" s="433"/>
      <c r="I74" s="118" t="s">
        <v>3</v>
      </c>
      <c r="J74" s="68"/>
      <c r="K74" s="15"/>
      <c r="L74" s="15"/>
      <c r="M74" s="15"/>
      <c r="N74" s="15"/>
      <c r="O74" s="15"/>
      <c r="P74" s="15"/>
      <c r="Q74" s="15"/>
      <c r="R74" s="15"/>
      <c r="S74" s="15"/>
      <c r="T74" s="15"/>
      <c r="U74" s="15"/>
    </row>
    <row r="75" spans="2:21" ht="30.75" hidden="1" customHeight="1" x14ac:dyDescent="0.3">
      <c r="B75" s="58"/>
      <c r="C75" s="52">
        <v>2</v>
      </c>
      <c r="D75" s="408" t="s">
        <v>284</v>
      </c>
      <c r="E75" s="409"/>
      <c r="F75" s="409"/>
      <c r="G75" s="409"/>
      <c r="H75" s="410"/>
      <c r="I75" s="118" t="s">
        <v>3</v>
      </c>
      <c r="J75" s="68"/>
      <c r="K75" s="15"/>
      <c r="L75" s="15"/>
      <c r="M75" s="15"/>
      <c r="N75" s="15"/>
      <c r="O75" s="15"/>
      <c r="P75" s="15"/>
      <c r="Q75" s="15"/>
      <c r="R75" s="15"/>
      <c r="S75" s="15"/>
      <c r="T75" s="15"/>
      <c r="U75" s="15"/>
    </row>
    <row r="76" spans="2:21" ht="30" hidden="1" customHeight="1" thickBot="1" x14ac:dyDescent="0.35">
      <c r="B76" s="58"/>
      <c r="C76" s="52">
        <v>3</v>
      </c>
      <c r="D76" s="419" t="s">
        <v>285</v>
      </c>
      <c r="E76" s="420"/>
      <c r="F76" s="420"/>
      <c r="G76" s="420"/>
      <c r="H76" s="421"/>
      <c r="I76" s="80" t="s">
        <v>3</v>
      </c>
      <c r="J76" s="68"/>
      <c r="K76" s="15"/>
      <c r="L76" s="15"/>
      <c r="M76" s="15"/>
      <c r="N76" s="15"/>
      <c r="O76" s="15"/>
      <c r="P76" s="15"/>
      <c r="Q76" s="15"/>
      <c r="R76" s="15"/>
      <c r="S76" s="15"/>
      <c r="T76" s="15"/>
      <c r="U76" s="15"/>
    </row>
    <row r="77" spans="2:21" ht="15.6" hidden="1" thickTop="1" thickBot="1" x14ac:dyDescent="0.35">
      <c r="B77" s="58"/>
      <c r="C77" s="417" t="s">
        <v>293</v>
      </c>
      <c r="D77" s="417"/>
      <c r="E77" s="417"/>
      <c r="F77" s="417"/>
      <c r="G77" s="418"/>
      <c r="H77" s="422" t="str">
        <f>IF(AND(I74="YES",I75="YES",I76="YES"),"WARRANTED", IF(OR(I74="YES",I75="YES",I76="YES"), "PARTIALLY WARRANTED","NOT WARRANTED"))</f>
        <v>NOT WARRANTED</v>
      </c>
      <c r="I77" s="423"/>
      <c r="J77" s="68"/>
      <c r="K77" s="15"/>
      <c r="L77" s="15"/>
      <c r="M77" s="15"/>
      <c r="N77" s="15"/>
      <c r="O77" s="15"/>
      <c r="P77" s="15"/>
      <c r="Q77" s="15"/>
      <c r="R77" s="15"/>
      <c r="S77" s="15"/>
      <c r="T77" s="15"/>
      <c r="U77" s="15"/>
    </row>
    <row r="78" spans="2:21" ht="15" hidden="1" thickTop="1" x14ac:dyDescent="0.3">
      <c r="B78" s="60"/>
      <c r="C78" s="88"/>
      <c r="D78" s="90"/>
      <c r="E78" s="90"/>
      <c r="F78" s="90"/>
      <c r="G78" s="90"/>
      <c r="H78" s="90"/>
      <c r="I78" s="90"/>
      <c r="J78" s="71"/>
      <c r="K78" s="15"/>
      <c r="L78" s="15"/>
      <c r="M78" s="15"/>
      <c r="N78" s="15"/>
      <c r="O78" s="15"/>
      <c r="P78" s="15"/>
      <c r="Q78" s="15"/>
      <c r="R78" s="15"/>
      <c r="S78" s="15"/>
      <c r="T78" s="15"/>
      <c r="U78" s="15"/>
    </row>
    <row r="79" spans="2:21" ht="14.4" hidden="1" customHeight="1" x14ac:dyDescent="0.3">
      <c r="B79" s="7"/>
      <c r="C79" s="113"/>
      <c r="D79" s="87"/>
      <c r="E79" s="87"/>
      <c r="F79" s="87"/>
      <c r="G79" s="87"/>
      <c r="H79" s="87"/>
      <c r="I79" s="87"/>
      <c r="J79" s="15"/>
      <c r="K79" s="15"/>
      <c r="L79" s="15"/>
      <c r="M79" s="15"/>
      <c r="N79" s="15"/>
      <c r="O79" s="15"/>
      <c r="P79" s="15"/>
      <c r="Q79" s="15"/>
      <c r="R79" s="15"/>
      <c r="S79" s="15"/>
      <c r="T79" s="15"/>
      <c r="U79" s="15"/>
    </row>
    <row r="80" spans="2:21" ht="8.4" hidden="1" customHeight="1" x14ac:dyDescent="0.3">
      <c r="B80" s="81"/>
      <c r="C80" s="72"/>
      <c r="D80" s="91"/>
      <c r="E80" s="91"/>
      <c r="F80" s="91"/>
      <c r="G80" s="91"/>
      <c r="H80" s="91"/>
      <c r="I80" s="91"/>
      <c r="J80" s="84"/>
      <c r="K80" s="15"/>
      <c r="L80" s="15"/>
      <c r="M80" s="15"/>
      <c r="N80" s="15"/>
      <c r="O80" s="15"/>
      <c r="P80" s="15"/>
      <c r="Q80" s="15"/>
      <c r="R80" s="15"/>
      <c r="S80" s="15"/>
      <c r="T80" s="15"/>
      <c r="U80" s="15"/>
    </row>
    <row r="81" spans="2:21" hidden="1" x14ac:dyDescent="0.3">
      <c r="B81" s="58"/>
      <c r="C81" s="424" t="s">
        <v>294</v>
      </c>
      <c r="D81" s="424"/>
      <c r="E81" s="424"/>
      <c r="F81" s="407"/>
      <c r="G81" s="407"/>
      <c r="H81" s="407"/>
      <c r="I81" s="15"/>
      <c r="J81" s="68"/>
      <c r="K81" s="15"/>
      <c r="L81" s="15"/>
      <c r="M81" s="15"/>
      <c r="N81" s="15"/>
      <c r="O81" s="15"/>
      <c r="P81" s="15"/>
      <c r="Q81" s="15"/>
      <c r="R81" s="15"/>
      <c r="S81" s="15"/>
      <c r="T81" s="15"/>
      <c r="U81" s="15"/>
    </row>
    <row r="82" spans="2:21" hidden="1" x14ac:dyDescent="0.3">
      <c r="B82" s="58"/>
      <c r="C82" s="414" t="s">
        <v>263</v>
      </c>
      <c r="D82" s="415"/>
      <c r="E82" s="415"/>
      <c r="F82" s="415"/>
      <c r="G82" s="415"/>
      <c r="H82" s="416"/>
      <c r="I82" s="52" t="s">
        <v>262</v>
      </c>
      <c r="J82" s="68"/>
      <c r="K82" s="15"/>
      <c r="L82" s="15"/>
      <c r="M82" s="15"/>
      <c r="N82" s="15"/>
      <c r="O82" s="15"/>
      <c r="P82" s="15"/>
      <c r="Q82" s="15"/>
      <c r="R82" s="15"/>
      <c r="S82" s="15"/>
      <c r="T82" s="15"/>
      <c r="U82" s="15"/>
    </row>
    <row r="83" spans="2:21" ht="29.4" hidden="1" customHeight="1" x14ac:dyDescent="0.3">
      <c r="B83" s="58"/>
      <c r="C83" s="52">
        <v>1</v>
      </c>
      <c r="D83" s="408" t="s">
        <v>286</v>
      </c>
      <c r="E83" s="409"/>
      <c r="F83" s="409"/>
      <c r="G83" s="409"/>
      <c r="H83" s="410"/>
      <c r="I83" s="118" t="s">
        <v>3</v>
      </c>
      <c r="J83" s="68"/>
      <c r="K83" s="15"/>
      <c r="L83" s="15"/>
      <c r="M83" s="15"/>
      <c r="N83" s="15"/>
      <c r="O83" s="15"/>
      <c r="P83" s="15"/>
      <c r="Q83" s="15"/>
      <c r="R83" s="15"/>
      <c r="S83" s="15"/>
      <c r="T83" s="15"/>
      <c r="U83" s="15"/>
    </row>
    <row r="84" spans="2:21" ht="14.4" hidden="1" customHeight="1" thickBot="1" x14ac:dyDescent="0.35">
      <c r="B84" s="58"/>
      <c r="C84" s="52">
        <v>2</v>
      </c>
      <c r="D84" s="419" t="s">
        <v>287</v>
      </c>
      <c r="E84" s="420"/>
      <c r="F84" s="420"/>
      <c r="G84" s="420"/>
      <c r="H84" s="421"/>
      <c r="I84" s="80" t="s">
        <v>3</v>
      </c>
      <c r="J84" s="68"/>
      <c r="K84" s="15"/>
      <c r="L84" s="15"/>
      <c r="M84" s="15"/>
      <c r="N84" s="15"/>
      <c r="O84" s="15"/>
      <c r="P84" s="15"/>
      <c r="Q84" s="15"/>
      <c r="R84" s="15"/>
      <c r="S84" s="15"/>
      <c r="T84" s="15"/>
      <c r="U84" s="15"/>
    </row>
    <row r="85" spans="2:21" ht="28.2" hidden="1" customHeight="1" thickTop="1" thickBot="1" x14ac:dyDescent="0.35">
      <c r="B85" s="58"/>
      <c r="C85" s="417" t="s">
        <v>295</v>
      </c>
      <c r="D85" s="417"/>
      <c r="E85" s="417"/>
      <c r="F85" s="417"/>
      <c r="G85" s="418"/>
      <c r="H85" s="422" t="str">
        <f>IF(OR(I83="YES",I84="YES"),"WARRANTED","NOT WARRANTED")</f>
        <v>NOT WARRANTED</v>
      </c>
      <c r="I85" s="423"/>
      <c r="J85" s="68"/>
      <c r="K85" s="15"/>
      <c r="L85" s="15"/>
      <c r="M85" s="15"/>
      <c r="N85" s="15"/>
      <c r="O85" s="15"/>
      <c r="P85" s="15"/>
      <c r="Q85" s="15"/>
      <c r="R85" s="15"/>
      <c r="S85" s="15"/>
      <c r="T85" s="15"/>
      <c r="U85" s="15"/>
    </row>
    <row r="86" spans="2:21" ht="8.4" hidden="1" customHeight="1" thickTop="1" x14ac:dyDescent="0.3">
      <c r="B86" s="60"/>
      <c r="C86" s="88"/>
      <c r="D86" s="88"/>
      <c r="E86" s="89"/>
      <c r="F86" s="89"/>
      <c r="G86" s="89"/>
      <c r="H86" s="89"/>
      <c r="I86" s="70"/>
      <c r="J86" s="71"/>
      <c r="K86" s="15"/>
      <c r="L86" s="15"/>
      <c r="M86" s="15"/>
      <c r="N86" s="15"/>
      <c r="O86" s="15"/>
      <c r="P86" s="15"/>
      <c r="Q86" s="15"/>
      <c r="R86" s="15"/>
      <c r="S86" s="15"/>
      <c r="T86" s="15"/>
      <c r="U86" s="15"/>
    </row>
    <row r="87" spans="2:21" ht="14.4" hidden="1" customHeight="1" x14ac:dyDescent="0.3">
      <c r="B87" s="7"/>
      <c r="C87" s="50"/>
      <c r="E87" s="21"/>
      <c r="F87" s="46"/>
      <c r="G87" s="7"/>
      <c r="H87" s="117"/>
    </row>
    <row r="88" spans="2:21" ht="14.4" customHeight="1" x14ac:dyDescent="0.3">
      <c r="B88" s="7"/>
      <c r="C88" s="50"/>
      <c r="E88" s="21"/>
      <c r="F88" s="46"/>
      <c r="G88" s="7"/>
      <c r="H88" s="117"/>
    </row>
    <row r="89" spans="2:21" ht="33" customHeight="1" x14ac:dyDescent="0.3">
      <c r="B89" s="7"/>
      <c r="C89" s="4">
        <v>3</v>
      </c>
      <c r="D89" s="317" t="s">
        <v>601</v>
      </c>
      <c r="E89" s="317"/>
      <c r="F89" s="317"/>
      <c r="G89" s="317"/>
      <c r="H89" s="218"/>
      <c r="K89" s="101"/>
    </row>
    <row r="90" spans="2:21" ht="14.4" customHeight="1" x14ac:dyDescent="0.3">
      <c r="B90" s="7"/>
      <c r="D90" s="7"/>
      <c r="E90" s="20" t="s">
        <v>440</v>
      </c>
      <c r="F90" s="321" t="str">
        <f>IF('Project Information'!F11=0,"-",'Project Information'!F11)</f>
        <v>-</v>
      </c>
      <c r="G90" s="321"/>
      <c r="H90" s="217"/>
      <c r="I90" s="101"/>
    </row>
    <row r="91" spans="2:21" ht="14.4" customHeight="1" x14ac:dyDescent="0.3">
      <c r="B91" s="7"/>
      <c r="D91" s="7"/>
      <c r="E91" s="20" t="s">
        <v>6</v>
      </c>
      <c r="F91" s="321" t="str">
        <f>IF('Project Information'!F12=0,"-",'Project Information'!F12)</f>
        <v>-</v>
      </c>
      <c r="G91" s="321"/>
      <c r="H91" s="117"/>
      <c r="I91" s="101"/>
    </row>
    <row r="92" spans="2:21" ht="14.4" customHeight="1" x14ac:dyDescent="0.3">
      <c r="B92" s="7"/>
      <c r="D92" s="7"/>
      <c r="E92" s="20" t="s">
        <v>297</v>
      </c>
      <c r="F92" s="321" t="str">
        <f>IF('Project Information'!F13=0,"-",'Project Information'!F13)</f>
        <v>-</v>
      </c>
      <c r="G92" s="321"/>
      <c r="H92" s="125"/>
      <c r="I92" s="101"/>
    </row>
    <row r="93" spans="2:21" ht="14.4" customHeight="1" x14ac:dyDescent="0.3">
      <c r="B93" s="7"/>
      <c r="D93" s="7"/>
      <c r="E93" s="20" t="s">
        <v>441</v>
      </c>
      <c r="F93" s="321" t="str">
        <f>IF('Project Information'!F14=0,"-",'Project Information'!F14)</f>
        <v>-</v>
      </c>
      <c r="G93" s="321"/>
      <c r="H93" s="125"/>
      <c r="I93" s="101"/>
    </row>
    <row r="94" spans="2:21" ht="14.4" customHeight="1" x14ac:dyDescent="0.3">
      <c r="B94" s="7"/>
      <c r="D94" s="7"/>
      <c r="E94" s="20" t="s">
        <v>442</v>
      </c>
      <c r="F94" s="321" t="str">
        <f>IF('Project Information'!F15=0,"-",'Project Information'!F15)</f>
        <v>-</v>
      </c>
      <c r="G94" s="321"/>
      <c r="H94" s="125"/>
      <c r="I94" s="101"/>
    </row>
    <row r="95" spans="2:21" ht="14.4" customHeight="1" x14ac:dyDescent="0.3">
      <c r="B95" s="7"/>
      <c r="D95" s="7"/>
      <c r="E95" s="20" t="s">
        <v>443</v>
      </c>
      <c r="F95" s="321" t="str">
        <f>IF('Project Information'!F16=0,"-",'Project Information'!F16)</f>
        <v>-</v>
      </c>
      <c r="G95" s="321"/>
      <c r="H95" s="125"/>
      <c r="I95" s="101"/>
    </row>
    <row r="96" spans="2:21" ht="14.4" customHeight="1" x14ac:dyDescent="0.3">
      <c r="B96" s="7"/>
      <c r="D96" s="7"/>
      <c r="E96" s="20"/>
      <c r="F96" s="20"/>
      <c r="G96" s="20"/>
      <c r="H96" s="117"/>
      <c r="I96" s="101"/>
    </row>
    <row r="97" spans="2:12" ht="29.4" customHeight="1" x14ac:dyDescent="0.3">
      <c r="B97" s="7"/>
      <c r="C97" s="4">
        <v>4</v>
      </c>
      <c r="D97" s="317" t="s">
        <v>439</v>
      </c>
      <c r="E97" s="317"/>
      <c r="F97" s="317"/>
      <c r="G97" s="317"/>
      <c r="H97" s="117"/>
      <c r="I97" s="101"/>
      <c r="K97" s="101"/>
    </row>
    <row r="98" spans="2:12" ht="43.8" customHeight="1" x14ac:dyDescent="0.3">
      <c r="B98" s="7"/>
      <c r="D98" s="7"/>
      <c r="E98" s="20"/>
      <c r="F98" s="118"/>
      <c r="G98" s="19" t="s">
        <v>333</v>
      </c>
      <c r="H98" s="298"/>
      <c r="I98" s="298"/>
    </row>
    <row r="99" spans="2:12" ht="14.4" customHeight="1" x14ac:dyDescent="0.3">
      <c r="B99" s="7"/>
      <c r="D99" s="7"/>
      <c r="E99" s="20"/>
      <c r="F99" s="20"/>
      <c r="G99" s="20"/>
      <c r="H99" s="117"/>
      <c r="I99" s="101"/>
    </row>
    <row r="100" spans="2:12" ht="29.25" customHeight="1" x14ac:dyDescent="0.3">
      <c r="B100" s="7"/>
      <c r="C100" s="4">
        <v>5</v>
      </c>
      <c r="D100" s="317" t="s">
        <v>437</v>
      </c>
      <c r="E100" s="317"/>
      <c r="F100" s="317"/>
      <c r="G100" s="317"/>
      <c r="H100" s="117"/>
      <c r="I100" s="101"/>
    </row>
    <row r="101" spans="2:12" ht="27.6" customHeight="1" x14ac:dyDescent="0.3">
      <c r="B101" s="7"/>
      <c r="D101" s="106"/>
      <c r="E101" s="106"/>
      <c r="F101" s="118"/>
      <c r="G101" s="19" t="s">
        <v>332</v>
      </c>
      <c r="H101" s="19"/>
      <c r="I101" s="19"/>
      <c r="J101" s="19"/>
    </row>
    <row r="102" spans="2:12" ht="14.4" customHeight="1" x14ac:dyDescent="0.3">
      <c r="B102" s="7"/>
      <c r="D102" s="106"/>
      <c r="E102" s="106"/>
      <c r="F102" s="106"/>
      <c r="G102" s="19"/>
      <c r="H102" s="19"/>
      <c r="I102" s="173"/>
      <c r="J102" s="19"/>
    </row>
    <row r="103" spans="2:12" ht="29.4" customHeight="1" x14ac:dyDescent="0.3">
      <c r="B103" s="7"/>
      <c r="C103" s="4">
        <v>6</v>
      </c>
      <c r="D103" s="317" t="s">
        <v>337</v>
      </c>
      <c r="E103" s="317"/>
      <c r="F103" s="317"/>
      <c r="G103" s="317"/>
      <c r="H103" s="227"/>
      <c r="I103" s="173"/>
      <c r="J103" s="19"/>
    </row>
    <row r="104" spans="2:12" ht="27.6" customHeight="1" x14ac:dyDescent="0.3">
      <c r="B104" s="7"/>
      <c r="D104" s="106"/>
      <c r="E104" s="106"/>
      <c r="F104" s="118"/>
      <c r="G104" s="19" t="s">
        <v>332</v>
      </c>
      <c r="H104" s="19"/>
      <c r="I104" s="19"/>
      <c r="J104" s="19"/>
    </row>
    <row r="105" spans="2:12" ht="14.4" customHeight="1" x14ac:dyDescent="0.3">
      <c r="B105" s="7"/>
      <c r="D105" s="106"/>
      <c r="E105" s="106"/>
      <c r="F105" s="106"/>
      <c r="G105" s="19"/>
      <c r="H105" s="19"/>
      <c r="I105" s="173"/>
      <c r="J105" s="19"/>
    </row>
    <row r="106" spans="2:12" ht="45" customHeight="1" x14ac:dyDescent="0.3">
      <c r="B106" s="7"/>
      <c r="C106" s="4">
        <v>7</v>
      </c>
      <c r="D106" s="360" t="s">
        <v>596</v>
      </c>
      <c r="E106" s="360"/>
      <c r="F106" s="360"/>
      <c r="G106" s="360"/>
      <c r="H106" s="19"/>
      <c r="I106" s="173"/>
      <c r="J106" s="19"/>
    </row>
    <row r="107" spans="2:12" ht="29.4" customHeight="1" x14ac:dyDescent="0.3">
      <c r="B107" s="7"/>
      <c r="D107" s="106"/>
      <c r="E107" s="106"/>
      <c r="F107" s="40"/>
      <c r="G107" s="19" t="s">
        <v>335</v>
      </c>
      <c r="H107" s="298"/>
      <c r="I107" s="298"/>
      <c r="J107" s="19"/>
    </row>
    <row r="108" spans="2:12" ht="14.4" customHeight="1" x14ac:dyDescent="0.3">
      <c r="B108" s="7"/>
      <c r="D108" s="106"/>
      <c r="E108" s="106"/>
      <c r="F108" s="106"/>
      <c r="G108" s="19"/>
      <c r="H108" s="19"/>
      <c r="I108" s="173"/>
      <c r="J108" s="19"/>
    </row>
    <row r="109" spans="2:12" ht="14.4" customHeight="1" x14ac:dyDescent="0.3">
      <c r="B109" s="7"/>
      <c r="D109" s="106"/>
      <c r="E109" s="106"/>
      <c r="F109" s="106"/>
      <c r="G109" s="106"/>
      <c r="H109" s="117"/>
      <c r="I109" s="101"/>
      <c r="L109" s="225"/>
    </row>
    <row r="110" spans="2:12" ht="14.4" customHeight="1" x14ac:dyDescent="0.3">
      <c r="B110" s="7"/>
      <c r="C110" s="50"/>
      <c r="E110" s="20"/>
      <c r="F110" s="140" t="s">
        <v>109</v>
      </c>
      <c r="G110" s="228">
        <f>'10 DMS Benefit'!F66</f>
        <v>0</v>
      </c>
      <c r="H110" s="117"/>
      <c r="L110" s="219"/>
    </row>
    <row r="111" spans="2:12" ht="14.4" customHeight="1" x14ac:dyDescent="0.3">
      <c r="B111" s="7"/>
      <c r="C111" s="50"/>
      <c r="E111" s="20"/>
      <c r="F111" s="140" t="s">
        <v>131</v>
      </c>
      <c r="G111" s="228">
        <f>'10 DMS Benefit'!F91</f>
        <v>0</v>
      </c>
      <c r="H111" s="117"/>
    </row>
    <row r="112" spans="2:12" ht="14.4" customHeight="1" thickBot="1" x14ac:dyDescent="0.35">
      <c r="B112" s="7"/>
      <c r="C112" s="50"/>
      <c r="E112" s="20"/>
      <c r="F112" s="20"/>
      <c r="G112" s="20"/>
      <c r="H112" s="117"/>
    </row>
    <row r="113" spans="2:21" ht="14.4" customHeight="1" thickTop="1" thickBot="1" x14ac:dyDescent="0.35">
      <c r="B113" s="7"/>
      <c r="C113" s="50"/>
      <c r="E113" s="20"/>
      <c r="F113" s="94" t="s">
        <v>132</v>
      </c>
      <c r="G113" s="93">
        <f>'10 DMS Benefit'!F94</f>
        <v>0</v>
      </c>
      <c r="H113" s="117"/>
    </row>
    <row r="114" spans="2:21" ht="14.4" customHeight="1" thickTop="1" thickBot="1" x14ac:dyDescent="0.35">
      <c r="B114" s="7"/>
      <c r="C114" s="50"/>
      <c r="E114" s="20"/>
      <c r="F114" s="94" t="s">
        <v>330</v>
      </c>
      <c r="G114" s="96" t="e">
        <f>G113/F10</f>
        <v>#DIV/0!</v>
      </c>
      <c r="H114" s="117"/>
    </row>
    <row r="115" spans="2:21" ht="14.4" customHeight="1" thickTop="1" x14ac:dyDescent="0.3">
      <c r="B115" s="7"/>
      <c r="C115" s="50"/>
      <c r="E115" s="20"/>
      <c r="F115" s="94"/>
      <c r="G115" s="95"/>
      <c r="H115" s="117"/>
    </row>
    <row r="116" spans="2:21" x14ac:dyDescent="0.3">
      <c r="B116" s="7"/>
      <c r="C116" s="113"/>
      <c r="D116" s="113"/>
      <c r="E116" s="107"/>
      <c r="F116" s="107"/>
      <c r="G116" s="107"/>
      <c r="H116" s="107"/>
      <c r="I116" s="15"/>
      <c r="J116" s="15"/>
      <c r="K116" s="15"/>
      <c r="L116" s="15"/>
      <c r="M116" s="15"/>
      <c r="N116" s="15"/>
      <c r="O116" s="15"/>
      <c r="P116" s="15"/>
      <c r="Q116" s="15"/>
      <c r="R116" s="15"/>
      <c r="S116" s="15"/>
      <c r="T116" s="15"/>
      <c r="U116" s="15"/>
    </row>
    <row r="117" spans="2:21" x14ac:dyDescent="0.3">
      <c r="B117" s="7"/>
      <c r="C117" s="113"/>
      <c r="D117" s="113"/>
      <c r="E117" s="107"/>
      <c r="F117" s="107"/>
      <c r="G117" s="107"/>
      <c r="H117" s="107"/>
      <c r="I117" s="15"/>
      <c r="J117" s="15"/>
      <c r="K117" s="15"/>
      <c r="L117" s="15"/>
      <c r="M117" s="15"/>
      <c r="N117" s="15"/>
      <c r="O117" s="15"/>
      <c r="P117" s="15"/>
      <c r="Q117" s="15"/>
      <c r="R117" s="15"/>
      <c r="S117" s="15"/>
      <c r="T117" s="15"/>
      <c r="U117" s="15"/>
    </row>
    <row r="118" spans="2:21" x14ac:dyDescent="0.3">
      <c r="B118" s="7"/>
      <c r="C118" s="113"/>
      <c r="D118" s="113"/>
      <c r="E118" s="107"/>
      <c r="F118" s="107"/>
      <c r="G118" s="107"/>
      <c r="H118" s="107"/>
      <c r="I118" s="15"/>
      <c r="J118" s="15"/>
      <c r="K118" s="15"/>
      <c r="L118" s="15"/>
      <c r="M118" s="15"/>
      <c r="N118" s="15"/>
      <c r="O118" s="15"/>
      <c r="P118" s="15"/>
      <c r="Q118" s="15"/>
      <c r="R118" s="15"/>
      <c r="S118" s="15"/>
      <c r="T118" s="15"/>
      <c r="U118" s="15"/>
    </row>
    <row r="119" spans="2:21" x14ac:dyDescent="0.3">
      <c r="B119" s="7"/>
      <c r="C119" s="113"/>
      <c r="D119" s="113"/>
      <c r="E119" s="107"/>
      <c r="F119" s="107"/>
      <c r="G119" s="107"/>
      <c r="H119" s="107"/>
      <c r="I119" s="15"/>
      <c r="J119" s="15"/>
      <c r="K119" s="15"/>
      <c r="L119" s="15"/>
      <c r="M119" s="15"/>
      <c r="N119" s="15"/>
      <c r="O119" s="15"/>
      <c r="P119" s="15"/>
      <c r="Q119" s="15"/>
      <c r="R119" s="15"/>
      <c r="S119" s="15"/>
      <c r="T119" s="15"/>
      <c r="U119" s="15"/>
    </row>
    <row r="120" spans="2:21" x14ac:dyDescent="0.3">
      <c r="B120" s="7"/>
      <c r="C120" s="113"/>
      <c r="D120" s="113"/>
      <c r="E120" s="107"/>
      <c r="F120" s="107"/>
      <c r="G120" s="107"/>
      <c r="H120" s="107"/>
      <c r="I120" s="15"/>
      <c r="J120" s="15"/>
      <c r="K120" s="15"/>
      <c r="L120" s="15"/>
      <c r="M120" s="15"/>
      <c r="N120" s="15"/>
      <c r="O120" s="15"/>
      <c r="P120" s="15"/>
      <c r="Q120" s="15"/>
      <c r="R120" s="15"/>
      <c r="S120" s="15"/>
      <c r="T120" s="15"/>
      <c r="U120" s="15"/>
    </row>
    <row r="121" spans="2:21" x14ac:dyDescent="0.3">
      <c r="B121" s="7"/>
      <c r="C121" s="113"/>
      <c r="D121" s="113"/>
      <c r="E121" s="107"/>
      <c r="F121" s="107"/>
      <c r="G121" s="107"/>
      <c r="H121" s="107"/>
      <c r="I121" s="15"/>
      <c r="J121" s="15"/>
      <c r="K121" s="15"/>
      <c r="L121" s="15"/>
      <c r="M121" s="15"/>
      <c r="N121" s="15"/>
      <c r="O121" s="15"/>
      <c r="P121" s="15"/>
      <c r="Q121" s="15"/>
      <c r="R121" s="15"/>
      <c r="S121" s="15"/>
      <c r="T121" s="15"/>
      <c r="U121" s="15"/>
    </row>
    <row r="122" spans="2:21" x14ac:dyDescent="0.3">
      <c r="B122" s="7"/>
      <c r="C122" s="113"/>
      <c r="D122" s="113"/>
      <c r="E122" s="107"/>
      <c r="F122" s="107"/>
      <c r="G122" s="107"/>
      <c r="H122" s="107"/>
      <c r="I122" s="15"/>
      <c r="J122" s="15"/>
      <c r="K122" s="15"/>
      <c r="L122" s="15"/>
      <c r="M122" s="15"/>
      <c r="N122" s="15"/>
      <c r="O122" s="15"/>
      <c r="P122" s="15"/>
      <c r="Q122" s="15"/>
      <c r="R122" s="15"/>
      <c r="S122" s="15"/>
      <c r="T122" s="15"/>
      <c r="U122" s="15"/>
    </row>
    <row r="123" spans="2:21" x14ac:dyDescent="0.3">
      <c r="C123" s="42"/>
      <c r="D123" s="42"/>
      <c r="E123" s="42"/>
      <c r="F123" s="42"/>
      <c r="G123" s="42"/>
      <c r="H123" s="42"/>
      <c r="I123" s="15"/>
      <c r="J123" s="15"/>
      <c r="K123" s="15"/>
      <c r="L123" s="15"/>
      <c r="M123" s="15"/>
      <c r="N123" s="15"/>
      <c r="O123" s="15"/>
      <c r="P123" s="15"/>
      <c r="Q123" s="15"/>
      <c r="R123" s="15"/>
      <c r="S123" s="15"/>
      <c r="T123" s="15"/>
      <c r="U123" s="15"/>
    </row>
    <row r="124" spans="2:21" x14ac:dyDescent="0.3">
      <c r="C124" s="42"/>
      <c r="D124" s="42"/>
      <c r="E124" s="42"/>
      <c r="F124" s="42"/>
      <c r="G124" s="42"/>
      <c r="H124" s="42"/>
      <c r="I124" s="15"/>
      <c r="J124" s="15"/>
      <c r="K124" s="15"/>
      <c r="L124" s="15"/>
      <c r="M124" s="15"/>
      <c r="N124" s="15"/>
      <c r="O124" s="15"/>
      <c r="P124" s="15"/>
      <c r="Q124" s="15"/>
      <c r="R124" s="15"/>
      <c r="S124" s="15"/>
      <c r="T124" s="15"/>
      <c r="U124" s="15"/>
    </row>
    <row r="125" spans="2:21" x14ac:dyDescent="0.3">
      <c r="C125" s="42"/>
      <c r="D125" s="42"/>
      <c r="E125" s="42"/>
      <c r="F125" s="42"/>
      <c r="G125" s="42"/>
      <c r="H125" s="42"/>
      <c r="I125" s="15"/>
      <c r="J125" s="15"/>
      <c r="K125" s="15"/>
      <c r="L125" s="15"/>
      <c r="M125" s="15"/>
      <c r="N125" s="15"/>
      <c r="O125" s="15"/>
      <c r="P125" s="15"/>
      <c r="Q125" s="15"/>
      <c r="R125" s="15"/>
      <c r="S125" s="15"/>
      <c r="T125" s="15"/>
      <c r="U125" s="15"/>
    </row>
    <row r="126" spans="2:21" x14ac:dyDescent="0.3">
      <c r="C126" s="42"/>
      <c r="D126" s="42"/>
      <c r="E126" s="42"/>
      <c r="F126" s="42"/>
      <c r="G126" s="42"/>
      <c r="H126" s="42"/>
      <c r="I126" s="15"/>
      <c r="J126" s="15"/>
      <c r="K126" s="15"/>
      <c r="L126" s="15"/>
      <c r="M126" s="15"/>
      <c r="N126" s="15"/>
      <c r="O126" s="15"/>
      <c r="P126" s="15"/>
      <c r="Q126" s="15"/>
      <c r="R126" s="15"/>
      <c r="S126" s="15"/>
      <c r="T126" s="15"/>
      <c r="U126" s="15"/>
    </row>
    <row r="127" spans="2:21" x14ac:dyDescent="0.3">
      <c r="C127" s="42"/>
      <c r="D127" s="42"/>
      <c r="E127" s="42"/>
      <c r="F127" s="42"/>
      <c r="G127" s="42"/>
      <c r="H127" s="42"/>
      <c r="I127" s="15"/>
      <c r="J127" s="15"/>
      <c r="K127" s="15"/>
      <c r="L127" s="15"/>
      <c r="M127" s="15"/>
      <c r="N127" s="15"/>
      <c r="O127" s="15"/>
      <c r="P127" s="15"/>
      <c r="Q127" s="15"/>
      <c r="R127" s="15"/>
      <c r="S127" s="15"/>
      <c r="T127" s="15"/>
      <c r="U127" s="15"/>
    </row>
    <row r="128" spans="2:21" x14ac:dyDescent="0.3">
      <c r="C128" s="42"/>
      <c r="D128" s="42"/>
      <c r="E128" s="42"/>
      <c r="F128" s="42"/>
      <c r="G128" s="42"/>
      <c r="H128" s="42"/>
      <c r="I128" s="15"/>
      <c r="J128" s="15"/>
      <c r="K128" s="15"/>
      <c r="L128" s="15"/>
      <c r="M128" s="15"/>
      <c r="N128" s="15"/>
      <c r="O128" s="15"/>
      <c r="P128" s="15"/>
      <c r="Q128" s="15"/>
      <c r="R128" s="15"/>
      <c r="S128" s="15"/>
      <c r="T128" s="15"/>
      <c r="U128" s="15"/>
    </row>
    <row r="129" spans="3:21" x14ac:dyDescent="0.3">
      <c r="C129" s="42"/>
      <c r="D129" s="42"/>
      <c r="E129" s="42"/>
      <c r="F129" s="42"/>
      <c r="G129" s="42"/>
      <c r="H129" s="42"/>
      <c r="I129" s="15"/>
      <c r="J129" s="15"/>
      <c r="K129" s="15"/>
      <c r="L129" s="15"/>
      <c r="M129" s="15"/>
      <c r="N129" s="15"/>
      <c r="O129" s="15"/>
      <c r="P129" s="15"/>
      <c r="Q129" s="15"/>
      <c r="R129" s="15"/>
      <c r="S129" s="15"/>
      <c r="T129" s="15"/>
      <c r="U129" s="15"/>
    </row>
    <row r="130" spans="3:21" x14ac:dyDescent="0.3">
      <c r="C130" s="42"/>
      <c r="D130" s="42"/>
      <c r="E130" s="42"/>
      <c r="F130" s="42"/>
      <c r="G130" s="42"/>
      <c r="H130" s="42"/>
      <c r="I130" s="15"/>
      <c r="J130" s="15"/>
      <c r="K130" s="15"/>
      <c r="L130" s="15"/>
      <c r="M130" s="15"/>
      <c r="N130" s="15"/>
      <c r="O130" s="15"/>
      <c r="P130" s="15"/>
      <c r="Q130" s="15"/>
      <c r="R130" s="15"/>
      <c r="S130" s="15"/>
      <c r="T130" s="15"/>
      <c r="U130" s="15"/>
    </row>
    <row r="131" spans="3:21" x14ac:dyDescent="0.3">
      <c r="C131" s="42"/>
      <c r="D131" s="42"/>
      <c r="E131" s="42"/>
      <c r="F131" s="42"/>
      <c r="G131" s="42"/>
      <c r="H131" s="42"/>
      <c r="I131" s="15"/>
      <c r="J131" s="15"/>
      <c r="K131" s="15"/>
      <c r="L131" s="15"/>
      <c r="M131" s="15"/>
      <c r="N131" s="15"/>
      <c r="O131" s="15"/>
      <c r="P131" s="15"/>
      <c r="Q131" s="15"/>
      <c r="R131" s="15"/>
      <c r="S131" s="15"/>
      <c r="T131" s="15"/>
      <c r="U131" s="15"/>
    </row>
    <row r="132" spans="3:21" x14ac:dyDescent="0.3">
      <c r="C132" s="42"/>
      <c r="D132" s="42"/>
      <c r="E132" s="42"/>
      <c r="F132" s="42"/>
      <c r="G132" s="42"/>
      <c r="H132" s="42"/>
      <c r="I132" s="15"/>
      <c r="J132" s="15"/>
      <c r="K132" s="15"/>
      <c r="L132" s="15"/>
      <c r="M132" s="15"/>
      <c r="N132" s="15"/>
      <c r="O132" s="15"/>
      <c r="P132" s="15"/>
      <c r="Q132" s="15"/>
      <c r="R132" s="15"/>
      <c r="S132" s="15"/>
      <c r="T132" s="15"/>
      <c r="U132" s="15"/>
    </row>
    <row r="133" spans="3:21" x14ac:dyDescent="0.3">
      <c r="C133" s="42"/>
      <c r="D133" s="42"/>
      <c r="E133" s="42"/>
      <c r="F133" s="42"/>
      <c r="G133" s="42"/>
      <c r="H133" s="42"/>
      <c r="I133" s="15"/>
      <c r="J133" s="15"/>
      <c r="K133" s="15"/>
      <c r="L133" s="15"/>
      <c r="M133" s="15"/>
      <c r="N133" s="15"/>
      <c r="O133" s="15"/>
      <c r="P133" s="15"/>
      <c r="Q133" s="15"/>
      <c r="R133" s="15"/>
      <c r="S133" s="15"/>
      <c r="T133" s="15"/>
      <c r="U133" s="15"/>
    </row>
    <row r="134" spans="3:21" x14ac:dyDescent="0.3">
      <c r="C134" s="42"/>
      <c r="D134" s="42"/>
      <c r="E134" s="42"/>
      <c r="F134" s="42"/>
      <c r="G134" s="42"/>
      <c r="H134" s="42"/>
      <c r="I134" s="15"/>
      <c r="J134" s="15"/>
      <c r="K134" s="15"/>
      <c r="L134" s="15"/>
      <c r="M134" s="15"/>
      <c r="N134" s="15"/>
      <c r="O134" s="15"/>
      <c r="P134" s="15"/>
      <c r="Q134" s="15"/>
      <c r="R134" s="15"/>
      <c r="S134" s="15"/>
      <c r="T134" s="15"/>
      <c r="U134" s="15"/>
    </row>
    <row r="135" spans="3:21" x14ac:dyDescent="0.3">
      <c r="C135" s="42"/>
      <c r="D135" s="42"/>
      <c r="E135" s="42"/>
      <c r="F135" s="42"/>
      <c r="G135" s="42"/>
      <c r="H135" s="42"/>
      <c r="I135" s="15"/>
      <c r="J135" s="15"/>
      <c r="K135" s="15"/>
      <c r="L135" s="15"/>
      <c r="M135" s="15"/>
      <c r="N135" s="15"/>
      <c r="O135" s="15"/>
      <c r="P135" s="15"/>
      <c r="Q135" s="15"/>
      <c r="R135" s="15"/>
      <c r="S135" s="15"/>
      <c r="T135" s="15"/>
      <c r="U135" s="15"/>
    </row>
    <row r="136" spans="3:21" x14ac:dyDescent="0.3">
      <c r="C136" s="42"/>
      <c r="D136" s="42"/>
      <c r="E136" s="42"/>
      <c r="F136" s="42"/>
      <c r="G136" s="42"/>
      <c r="H136" s="42"/>
      <c r="I136" s="15"/>
      <c r="J136" s="15"/>
      <c r="K136" s="15"/>
      <c r="L136" s="15"/>
      <c r="M136" s="15"/>
      <c r="N136" s="15"/>
      <c r="O136" s="15"/>
      <c r="P136" s="15"/>
      <c r="Q136" s="15"/>
      <c r="R136" s="15"/>
      <c r="S136" s="15"/>
      <c r="T136" s="15"/>
      <c r="U136" s="15"/>
    </row>
    <row r="137" spans="3:21" x14ac:dyDescent="0.3">
      <c r="C137" s="42"/>
      <c r="D137" s="42"/>
      <c r="E137" s="42"/>
      <c r="F137" s="42"/>
      <c r="G137" s="42"/>
      <c r="H137" s="42"/>
      <c r="I137" s="15"/>
      <c r="J137" s="15"/>
      <c r="K137" s="15"/>
      <c r="L137" s="15"/>
      <c r="M137" s="15"/>
      <c r="N137" s="15"/>
      <c r="O137" s="15"/>
      <c r="P137" s="15"/>
      <c r="Q137" s="15"/>
      <c r="R137" s="15"/>
      <c r="S137" s="15"/>
      <c r="T137" s="15"/>
      <c r="U137" s="15"/>
    </row>
    <row r="138" spans="3:21" x14ac:dyDescent="0.3">
      <c r="C138" s="42"/>
      <c r="D138" s="42"/>
      <c r="E138" s="42"/>
      <c r="F138" s="42"/>
      <c r="G138" s="42"/>
      <c r="H138" s="42"/>
      <c r="I138" s="15"/>
      <c r="J138" s="15"/>
      <c r="K138" s="15"/>
      <c r="L138" s="15"/>
      <c r="M138" s="15"/>
      <c r="N138" s="15"/>
      <c r="O138" s="15"/>
      <c r="P138" s="15"/>
      <c r="Q138" s="15"/>
      <c r="R138" s="15"/>
      <c r="S138" s="15"/>
      <c r="T138" s="15"/>
      <c r="U138" s="15"/>
    </row>
    <row r="139" spans="3:21" x14ac:dyDescent="0.3">
      <c r="C139" s="42"/>
      <c r="D139" s="42"/>
      <c r="E139" s="42"/>
      <c r="F139" s="42"/>
      <c r="G139" s="42"/>
      <c r="H139" s="42"/>
    </row>
  </sheetData>
  <mergeCells count="78">
    <mergeCell ref="D100:G100"/>
    <mergeCell ref="D106:G106"/>
    <mergeCell ref="H68:I68"/>
    <mergeCell ref="D55:H55"/>
    <mergeCell ref="H57:I57"/>
    <mergeCell ref="C57:G57"/>
    <mergeCell ref="F61:H61"/>
    <mergeCell ref="F81:H81"/>
    <mergeCell ref="D76:H76"/>
    <mergeCell ref="C77:G77"/>
    <mergeCell ref="H77:I77"/>
    <mergeCell ref="D67:H67"/>
    <mergeCell ref="C82:H82"/>
    <mergeCell ref="D56:H56"/>
    <mergeCell ref="D74:H74"/>
    <mergeCell ref="D75:H75"/>
    <mergeCell ref="C1:C2"/>
    <mergeCell ref="D1:H1"/>
    <mergeCell ref="D2:H2"/>
    <mergeCell ref="F13:G13"/>
    <mergeCell ref="D3:F3"/>
    <mergeCell ref="F5:G5"/>
    <mergeCell ref="F6:G6"/>
    <mergeCell ref="F7:G7"/>
    <mergeCell ref="F10:G10"/>
    <mergeCell ref="D10:E10"/>
    <mergeCell ref="D12:G12"/>
    <mergeCell ref="D103:G103"/>
    <mergeCell ref="D32:H32"/>
    <mergeCell ref="D31:H31"/>
    <mergeCell ref="D30:H30"/>
    <mergeCell ref="D29:H29"/>
    <mergeCell ref="D54:H54"/>
    <mergeCell ref="D43:H43"/>
    <mergeCell ref="D44:H44"/>
    <mergeCell ref="D45:H45"/>
    <mergeCell ref="D46:H46"/>
    <mergeCell ref="D47:H47"/>
    <mergeCell ref="C48:G48"/>
    <mergeCell ref="H48:I48"/>
    <mergeCell ref="F90:G90"/>
    <mergeCell ref="D97:G97"/>
    <mergeCell ref="F92:G92"/>
    <mergeCell ref="F15:G15"/>
    <mergeCell ref="F14:G14"/>
    <mergeCell ref="F91:G91"/>
    <mergeCell ref="C73:H73"/>
    <mergeCell ref="D89:G89"/>
    <mergeCell ref="D84:H84"/>
    <mergeCell ref="C85:G85"/>
    <mergeCell ref="H85:I85"/>
    <mergeCell ref="C81:E81"/>
    <mergeCell ref="D83:H83"/>
    <mergeCell ref="C68:G68"/>
    <mergeCell ref="C62:H62"/>
    <mergeCell ref="D26:H26"/>
    <mergeCell ref="C25:H25"/>
    <mergeCell ref="H33:I33"/>
    <mergeCell ref="D40:H40"/>
    <mergeCell ref="F16:G16"/>
    <mergeCell ref="F17:G17"/>
    <mergeCell ref="D28:H28"/>
    <mergeCell ref="D27:H27"/>
    <mergeCell ref="C53:H53"/>
    <mergeCell ref="D41:H41"/>
    <mergeCell ref="D42:H42"/>
    <mergeCell ref="C39:H39"/>
    <mergeCell ref="C33:G33"/>
    <mergeCell ref="B21:J21"/>
    <mergeCell ref="F93:G93"/>
    <mergeCell ref="F94:G94"/>
    <mergeCell ref="F95:G95"/>
    <mergeCell ref="F18:G18"/>
    <mergeCell ref="F72:H72"/>
    <mergeCell ref="D63:H63"/>
    <mergeCell ref="D64:H64"/>
    <mergeCell ref="D65:H65"/>
    <mergeCell ref="D66:H66"/>
  </mergeCells>
  <conditionalFormatting sqref="C89:G108">
    <cfRule type="expression" dxfId="141" priority="1">
      <formula>AND($F$13="NOT WARRANTED",$F$14="NOT WARRANTED",$F$15="NOT WARRANTED",$F$16="NOT WARRANTED")</formula>
    </cfRule>
  </conditionalFormatting>
  <dataValidations count="3">
    <dataValidation type="list" showInputMessage="1" showErrorMessage="1" sqref="I26:I32 I40:I47 I54:I56 I63:I67 I74:I76 I83:I84">
      <formula1>YES.NO</formula1>
    </dataValidation>
    <dataValidation type="whole" allowBlank="1" showInputMessage="1" showErrorMessage="1" sqref="F10">
      <formula1>0</formula1>
      <formula2>10000000</formula2>
    </dataValidation>
    <dataValidation showInputMessage="1" showErrorMessage="1" sqref="F11:G11 F19:G19 F87:G88"/>
  </dataValidations>
  <pageMargins left="0.7" right="0.7" top="0.75" bottom="0.75" header="0.3" footer="0.3"/>
  <pageSetup scale="73" orientation="portrait" horizontalDpi="1200" verticalDpi="1200" r:id="rId1"/>
  <rowBreaks count="2" manualBreakCount="2">
    <brk id="35" max="16383" man="1"/>
    <brk id="87" max="16383" man="1"/>
  </rowBreaks>
  <ignoredErrors>
    <ignoredError sqref="F5:G7" unlockedFormula="1"/>
  </ignoredErrors>
  <drawing r:id="rId2"/>
  <extLst>
    <ext xmlns:x14="http://schemas.microsoft.com/office/spreadsheetml/2009/9/main" uri="{CCE6A557-97BC-4b89-ADB6-D9C93CAAB3DF}">
      <x14:dataValidations xmlns:xm="http://schemas.microsoft.com/office/excel/2006/main" count="1">
        <x14:dataValidation type="list" showInputMessage="1" showErrorMessage="1" errorTitle="Invalid Entry" error="Select Yes or No from the drop down menu.">
          <x14:formula1>
            <xm:f>'C:\Users\natalie.mengelkoch\Desktop\[WISDOT ITS Warrants.xlsx]DMS Warrants back page'!#REF!</xm:f>
          </x14:formula1>
          <xm:sqref>C116:C122 C86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1">
    <tabColor theme="5" tint="0.39997558519241921"/>
  </sheetPr>
  <dimension ref="B1:J95"/>
  <sheetViews>
    <sheetView topLeftCell="A34" zoomScale="85" zoomScaleNormal="85" workbookViewId="0">
      <selection activeCell="I53" sqref="I53"/>
    </sheetView>
  </sheetViews>
  <sheetFormatPr defaultColWidth="8.88671875" defaultRowHeight="14.4" x14ac:dyDescent="0.3"/>
  <cols>
    <col min="1" max="1" width="1.44140625" style="4" customWidth="1"/>
    <col min="2" max="2" width="1.5546875" style="42" customWidth="1"/>
    <col min="3" max="3" width="12.109375" style="4" customWidth="1"/>
    <col min="4" max="4" width="44.88671875" style="4" customWidth="1"/>
    <col min="5" max="5" width="13.44140625" style="4" customWidth="1"/>
    <col min="6" max="6" width="21.33203125" style="4" customWidth="1"/>
    <col min="7" max="7" width="20.88671875" style="4" customWidth="1"/>
    <col min="8" max="8" width="1.44140625" style="4" customWidth="1"/>
    <col min="9" max="9" width="122.6640625" style="4" bestFit="1" customWidth="1"/>
    <col min="10" max="16384" width="8.88671875" style="4"/>
  </cols>
  <sheetData>
    <row r="1" spans="2:9" x14ac:dyDescent="0.3">
      <c r="D1" s="116" t="s">
        <v>239</v>
      </c>
      <c r="E1" s="162"/>
      <c r="F1" s="162"/>
    </row>
    <row r="2" spans="2:9" ht="25.8" x14ac:dyDescent="0.3">
      <c r="D2" s="316" t="s">
        <v>241</v>
      </c>
      <c r="E2" s="316"/>
      <c r="F2" s="316"/>
    </row>
    <row r="3" spans="2:9" x14ac:dyDescent="0.3">
      <c r="D3" s="162" t="s">
        <v>242</v>
      </c>
      <c r="E3" s="162"/>
      <c r="F3" s="162"/>
    </row>
    <row r="5" spans="2:9" x14ac:dyDescent="0.3">
      <c r="D5" s="6" t="s">
        <v>2</v>
      </c>
      <c r="E5" s="428" t="str">
        <f>'10 DMS'!F5</f>
        <v>-</v>
      </c>
      <c r="F5" s="428"/>
    </row>
    <row r="6" spans="2:9" x14ac:dyDescent="0.3">
      <c r="D6" s="6" t="s">
        <v>0</v>
      </c>
      <c r="E6" s="428" t="str">
        <f>'10 DMS'!F6</f>
        <v>-</v>
      </c>
      <c r="F6" s="428"/>
    </row>
    <row r="7" spans="2:9" x14ac:dyDescent="0.3">
      <c r="D7" s="20" t="s">
        <v>160</v>
      </c>
      <c r="E7" s="428" t="str">
        <f>'10 DMS'!F7</f>
        <v>-</v>
      </c>
      <c r="F7" s="428"/>
    </row>
    <row r="8" spans="2:9" x14ac:dyDescent="0.3">
      <c r="E8" s="6"/>
    </row>
    <row r="9" spans="2:9" x14ac:dyDescent="0.3">
      <c r="E9" s="6"/>
    </row>
    <row r="10" spans="2:9" x14ac:dyDescent="0.3">
      <c r="C10" s="50">
        <v>1</v>
      </c>
      <c r="D10" s="19" t="s">
        <v>233</v>
      </c>
      <c r="E10" s="358">
        <f>'10 DMS'!F10</f>
        <v>0</v>
      </c>
      <c r="F10" s="358"/>
    </row>
    <row r="11" spans="2:9" x14ac:dyDescent="0.3">
      <c r="C11" s="50"/>
      <c r="D11" s="19"/>
      <c r="E11" s="92"/>
      <c r="F11" s="92"/>
    </row>
    <row r="12" spans="2:9" ht="14.4" customHeight="1" x14ac:dyDescent="0.3">
      <c r="B12" s="7"/>
      <c r="C12" s="4">
        <v>2</v>
      </c>
      <c r="D12" s="206" t="s">
        <v>450</v>
      </c>
      <c r="E12" s="20"/>
      <c r="F12" s="106"/>
      <c r="G12" s="7"/>
      <c r="H12" s="117"/>
    </row>
    <row r="13" spans="2:9" ht="14.4" customHeight="1" x14ac:dyDescent="0.3">
      <c r="B13" s="7"/>
      <c r="D13" s="7"/>
      <c r="E13" s="20"/>
      <c r="F13" s="203"/>
      <c r="G13" s="7"/>
      <c r="H13" s="202"/>
    </row>
    <row r="14" spans="2:9" ht="28.95" customHeight="1" x14ac:dyDescent="0.3">
      <c r="B14" s="7"/>
      <c r="C14" s="4">
        <v>3</v>
      </c>
      <c r="D14" s="317" t="s">
        <v>382</v>
      </c>
      <c r="E14" s="317"/>
      <c r="F14" s="317"/>
      <c r="G14" s="317"/>
      <c r="H14" s="117"/>
      <c r="I14" s="101"/>
    </row>
    <row r="15" spans="2:9" ht="14.4" customHeight="1" x14ac:dyDescent="0.3">
      <c r="B15" s="7"/>
      <c r="D15" s="7"/>
      <c r="E15" s="20" t="s">
        <v>440</v>
      </c>
      <c r="F15" s="321" t="str">
        <f>'10 DMS'!F90:G90</f>
        <v>-</v>
      </c>
      <c r="G15" s="321"/>
      <c r="H15" s="117"/>
    </row>
    <row r="16" spans="2:9" ht="14.4" customHeight="1" x14ac:dyDescent="0.3">
      <c r="B16" s="7"/>
      <c r="D16" s="7"/>
      <c r="E16" s="20" t="s">
        <v>6</v>
      </c>
      <c r="F16" s="321" t="str">
        <f>'10 DMS'!F91:G91</f>
        <v>-</v>
      </c>
      <c r="G16" s="321"/>
      <c r="H16" s="117"/>
    </row>
    <row r="17" spans="2:10" ht="14.4" customHeight="1" x14ac:dyDescent="0.3">
      <c r="B17" s="7"/>
      <c r="D17" s="7"/>
      <c r="E17" s="20" t="s">
        <v>297</v>
      </c>
      <c r="F17" s="321" t="str">
        <f>'10 DMS'!F92:G92</f>
        <v>-</v>
      </c>
      <c r="G17" s="321"/>
      <c r="H17" s="125"/>
    </row>
    <row r="18" spans="2:10" ht="14.4" customHeight="1" x14ac:dyDescent="0.3">
      <c r="B18" s="7"/>
      <c r="D18" s="7"/>
      <c r="E18" s="20" t="s">
        <v>441</v>
      </c>
      <c r="F18" s="321" t="str">
        <f>'10 DMS'!F93:G93</f>
        <v>-</v>
      </c>
      <c r="G18" s="321"/>
      <c r="H18" s="125"/>
    </row>
    <row r="19" spans="2:10" ht="14.4" customHeight="1" x14ac:dyDescent="0.3">
      <c r="B19" s="7"/>
      <c r="D19" s="7"/>
      <c r="E19" s="20" t="s">
        <v>442</v>
      </c>
      <c r="F19" s="321" t="str">
        <f>'10 DMS'!F94:G94</f>
        <v>-</v>
      </c>
      <c r="G19" s="321"/>
      <c r="H19" s="125"/>
    </row>
    <row r="20" spans="2:10" ht="14.4" customHeight="1" x14ac:dyDescent="0.3">
      <c r="B20" s="7"/>
      <c r="D20" s="7"/>
      <c r="E20" s="20" t="s">
        <v>443</v>
      </c>
      <c r="F20" s="321" t="str">
        <f>'10 DMS'!F95:G95</f>
        <v>-</v>
      </c>
      <c r="G20" s="321"/>
      <c r="H20" s="125"/>
    </row>
    <row r="21" spans="2:10" ht="14.4" customHeight="1" x14ac:dyDescent="0.3">
      <c r="B21" s="7"/>
      <c r="D21" s="7"/>
      <c r="E21" s="20"/>
      <c r="F21" s="106"/>
      <c r="G21" s="7"/>
      <c r="H21" s="117"/>
    </row>
    <row r="22" spans="2:10" ht="29.4" customHeight="1" x14ac:dyDescent="0.3">
      <c r="B22" s="7"/>
      <c r="C22" s="4">
        <v>4</v>
      </c>
      <c r="D22" s="317" t="s">
        <v>334</v>
      </c>
      <c r="E22" s="317"/>
      <c r="F22" s="317"/>
      <c r="G22" s="317"/>
      <c r="H22" s="117"/>
    </row>
    <row r="23" spans="2:10" ht="14.4" customHeight="1" x14ac:dyDescent="0.3">
      <c r="B23" s="7"/>
      <c r="D23" s="7"/>
      <c r="E23" s="20"/>
      <c r="F23" s="118">
        <f>'10 DMS'!F98</f>
        <v>0</v>
      </c>
      <c r="G23" s="106" t="s">
        <v>333</v>
      </c>
      <c r="H23" s="117"/>
    </row>
    <row r="24" spans="2:10" ht="14.4" customHeight="1" x14ac:dyDescent="0.3">
      <c r="B24" s="7"/>
      <c r="D24" s="7"/>
      <c r="E24" s="20"/>
      <c r="F24" s="20"/>
      <c r="G24" s="20"/>
      <c r="H24" s="117"/>
    </row>
    <row r="25" spans="2:10" ht="28.2" customHeight="1" x14ac:dyDescent="0.3">
      <c r="B25" s="7"/>
      <c r="C25" s="4">
        <v>5</v>
      </c>
      <c r="D25" s="317" t="s">
        <v>331</v>
      </c>
      <c r="E25" s="317"/>
      <c r="F25" s="317"/>
      <c r="G25" s="317"/>
      <c r="H25" s="117"/>
    </row>
    <row r="26" spans="2:10" ht="14.4" customHeight="1" x14ac:dyDescent="0.3">
      <c r="B26" s="7"/>
      <c r="D26" s="106"/>
      <c r="E26" s="106"/>
      <c r="F26" s="118">
        <f>'10 DMS'!F101</f>
        <v>0</v>
      </c>
      <c r="G26" s="19" t="s">
        <v>332</v>
      </c>
      <c r="H26" s="19"/>
      <c r="I26" s="19"/>
      <c r="J26" s="19"/>
    </row>
    <row r="27" spans="2:10" ht="14.4" customHeight="1" x14ac:dyDescent="0.3">
      <c r="B27" s="7"/>
      <c r="D27" s="106"/>
      <c r="E27" s="106"/>
      <c r="F27" s="106"/>
      <c r="G27" s="19"/>
      <c r="H27" s="19"/>
      <c r="I27" s="19"/>
      <c r="J27" s="19"/>
    </row>
    <row r="28" spans="2:10" ht="29.4" customHeight="1" x14ac:dyDescent="0.3">
      <c r="B28" s="7"/>
      <c r="C28" s="4">
        <v>6</v>
      </c>
      <c r="D28" s="317" t="s">
        <v>337</v>
      </c>
      <c r="E28" s="317"/>
      <c r="F28" s="317"/>
      <c r="G28" s="317"/>
      <c r="H28" s="19"/>
      <c r="I28" s="19"/>
      <c r="J28" s="19"/>
    </row>
    <row r="29" spans="2:10" ht="14.4" customHeight="1" x14ac:dyDescent="0.3">
      <c r="B29" s="7"/>
      <c r="D29" s="106"/>
      <c r="E29" s="106"/>
      <c r="F29" s="118">
        <f>'10 DMS'!F104</f>
        <v>0</v>
      </c>
      <c r="G29" s="19" t="s">
        <v>332</v>
      </c>
      <c r="H29" s="19"/>
      <c r="I29" s="19"/>
      <c r="J29" s="19"/>
    </row>
    <row r="30" spans="2:10" ht="14.4" customHeight="1" x14ac:dyDescent="0.3">
      <c r="B30" s="7"/>
      <c r="D30" s="106"/>
      <c r="E30" s="106"/>
      <c r="F30" s="106"/>
      <c r="G30" s="19"/>
      <c r="H30" s="19"/>
      <c r="I30" s="19"/>
      <c r="J30" s="19"/>
    </row>
    <row r="31" spans="2:10" ht="28.95" customHeight="1" x14ac:dyDescent="0.3">
      <c r="B31" s="7"/>
      <c r="C31" s="4">
        <v>7</v>
      </c>
      <c r="D31" s="317" t="s">
        <v>349</v>
      </c>
      <c r="E31" s="317"/>
      <c r="F31" s="317"/>
      <c r="G31" s="317"/>
      <c r="H31" s="19"/>
      <c r="I31" s="19"/>
      <c r="J31" s="19"/>
    </row>
    <row r="32" spans="2:10" ht="14.4" customHeight="1" x14ac:dyDescent="0.3">
      <c r="B32" s="7"/>
      <c r="D32" s="106"/>
      <c r="E32" s="106"/>
      <c r="F32" s="118">
        <f>'10 DMS'!F107</f>
        <v>0</v>
      </c>
      <c r="G32" s="19" t="s">
        <v>335</v>
      </c>
      <c r="H32" s="19"/>
      <c r="I32" s="19"/>
      <c r="J32" s="19"/>
    </row>
    <row r="33" spans="2:9" ht="14.4" customHeight="1" x14ac:dyDescent="0.3">
      <c r="B33" s="7"/>
      <c r="D33" s="106"/>
      <c r="E33" s="106"/>
      <c r="F33" s="106"/>
      <c r="G33" s="106"/>
      <c r="H33" s="117"/>
    </row>
    <row r="34" spans="2:9" ht="14.4" customHeight="1" x14ac:dyDescent="0.3">
      <c r="B34" s="7"/>
      <c r="D34" s="7"/>
      <c r="E34" s="20"/>
      <c r="F34" s="106"/>
      <c r="G34" s="7"/>
      <c r="H34" s="117"/>
    </row>
    <row r="35" spans="2:9" ht="14.4" customHeight="1" x14ac:dyDescent="0.3">
      <c r="C35" s="54">
        <v>8</v>
      </c>
      <c r="D35" s="379" t="str">
        <f>'10 DMS'!D12:G12</f>
        <v xml:space="preserve">Please complete the Guidance Analysis below to help define the intent of the project. The summary of your results is listed here: </v>
      </c>
      <c r="E35" s="379"/>
      <c r="F35" s="379"/>
    </row>
    <row r="36" spans="2:9" x14ac:dyDescent="0.3">
      <c r="C36" s="54"/>
      <c r="D36" s="5" t="str">
        <f>'10 DMS'!E13</f>
        <v>G1, Weather Conditions</v>
      </c>
      <c r="E36" s="405" t="str">
        <f>'10 DMS'!F13</f>
        <v>WARRANTED</v>
      </c>
      <c r="F36" s="406"/>
    </row>
    <row r="37" spans="2:9" x14ac:dyDescent="0.3">
      <c r="C37" s="54"/>
      <c r="D37" s="5" t="str">
        <f>'10 DMS'!E14</f>
        <v>G2, Traffic Conditions</v>
      </c>
      <c r="E37" s="405" t="str">
        <f>'10 DMS'!F14</f>
        <v>NOT WARRANTED</v>
      </c>
      <c r="F37" s="406"/>
    </row>
    <row r="38" spans="2:9" x14ac:dyDescent="0.3">
      <c r="C38" s="54"/>
      <c r="D38" s="5" t="str">
        <f>'10 DMS'!E15</f>
        <v>G3, Traffic Control</v>
      </c>
      <c r="E38" s="405" t="str">
        <f>'10 DMS'!F15</f>
        <v>NOT WARRANTED</v>
      </c>
      <c r="F38" s="406"/>
    </row>
    <row r="39" spans="2:9" x14ac:dyDescent="0.3">
      <c r="C39" s="54"/>
      <c r="D39" s="5" t="str">
        <f>'10 DMS'!E16</f>
        <v>G4, Special Events</v>
      </c>
      <c r="E39" s="405" t="str">
        <f>'10 DMS'!F16</f>
        <v>NOT WARRANTED</v>
      </c>
      <c r="F39" s="406"/>
    </row>
    <row r="40" spans="2:9" x14ac:dyDescent="0.3">
      <c r="C40" s="54"/>
      <c r="D40" s="5" t="str">
        <f>'10 DMS'!E17</f>
        <v>W5, Parking Availability</v>
      </c>
      <c r="E40" s="405" t="str">
        <f>'10 DMS'!F17</f>
        <v>NOT WARRANTED</v>
      </c>
      <c r="F40" s="406"/>
    </row>
    <row r="41" spans="2:9" x14ac:dyDescent="0.3">
      <c r="C41" s="54"/>
      <c r="D41" s="5" t="str">
        <f>'10 DMS'!E18</f>
        <v>W6, Public Transportation</v>
      </c>
      <c r="E41" s="405" t="str">
        <f>'10 DMS'!F18</f>
        <v>NOT WARRANTED</v>
      </c>
      <c r="F41" s="406"/>
    </row>
    <row r="42" spans="2:9" ht="14.4" customHeight="1" x14ac:dyDescent="0.3">
      <c r="B42" s="7"/>
      <c r="D42" s="7"/>
      <c r="E42" s="20"/>
      <c r="F42" s="20"/>
      <c r="G42" s="20"/>
      <c r="H42" s="117"/>
    </row>
    <row r="43" spans="2:9" x14ac:dyDescent="0.3">
      <c r="C43" s="54"/>
      <c r="D43" s="5"/>
      <c r="E43" s="48"/>
      <c r="F43" s="42"/>
    </row>
    <row r="44" spans="2:9" x14ac:dyDescent="0.3">
      <c r="D44" s="42"/>
      <c r="E44" s="42"/>
      <c r="F44" s="42"/>
    </row>
    <row r="46" spans="2:9" x14ac:dyDescent="0.3">
      <c r="C46" s="55" t="s">
        <v>438</v>
      </c>
      <c r="D46" s="82"/>
      <c r="E46" s="82"/>
      <c r="F46" s="82"/>
      <c r="G46" s="100"/>
    </row>
    <row r="47" spans="2:9" x14ac:dyDescent="0.3">
      <c r="C47" s="163"/>
      <c r="D47" s="7"/>
      <c r="E47" s="7"/>
      <c r="F47" s="7"/>
      <c r="G47" s="75"/>
    </row>
    <row r="48" spans="2:9" x14ac:dyDescent="0.3">
      <c r="C48" s="164" t="s">
        <v>342</v>
      </c>
      <c r="D48" s="317" t="s">
        <v>372</v>
      </c>
      <c r="E48" s="317"/>
      <c r="F48" s="317"/>
      <c r="G48" s="430"/>
      <c r="I48" s="4" t="s">
        <v>336</v>
      </c>
    </row>
    <row r="49" spans="2:9" x14ac:dyDescent="0.3">
      <c r="C49" s="165"/>
      <c r="D49" s="7"/>
      <c r="E49" s="7"/>
      <c r="F49" s="166">
        <f>PARAMETERS!J12</f>
        <v>16</v>
      </c>
      <c r="G49" s="75" t="s">
        <v>204</v>
      </c>
    </row>
    <row r="50" spans="2:9" x14ac:dyDescent="0.3">
      <c r="C50" s="165"/>
      <c r="D50" s="7"/>
      <c r="E50" s="7"/>
      <c r="F50" s="7"/>
      <c r="G50" s="75"/>
    </row>
    <row r="51" spans="2:9" ht="30" customHeight="1" x14ac:dyDescent="0.3">
      <c r="C51" s="164" t="s">
        <v>343</v>
      </c>
      <c r="D51" s="317" t="s">
        <v>384</v>
      </c>
      <c r="E51" s="317"/>
      <c r="F51" s="154">
        <f>(F26/60)*F32*0.8/17</f>
        <v>0</v>
      </c>
      <c r="G51" s="75" t="s">
        <v>338</v>
      </c>
      <c r="I51" s="4" t="s">
        <v>350</v>
      </c>
    </row>
    <row r="52" spans="2:9" x14ac:dyDescent="0.3">
      <c r="C52" s="167"/>
      <c r="D52" s="7"/>
      <c r="E52" s="7"/>
      <c r="F52" s="7"/>
      <c r="G52" s="75"/>
      <c r="I52" s="101"/>
    </row>
    <row r="53" spans="2:9" ht="28.95" customHeight="1" x14ac:dyDescent="0.3">
      <c r="C53" s="164" t="s">
        <v>344</v>
      </c>
      <c r="D53" s="317" t="s">
        <v>339</v>
      </c>
      <c r="E53" s="317"/>
      <c r="F53" s="154">
        <f>F51*(F49/100)</f>
        <v>0</v>
      </c>
      <c r="G53" s="75"/>
    </row>
    <row r="54" spans="2:9" x14ac:dyDescent="0.3">
      <c r="C54" s="167"/>
      <c r="D54" s="106"/>
      <c r="E54" s="106"/>
      <c r="F54" s="106"/>
      <c r="G54" s="75"/>
    </row>
    <row r="55" spans="2:9" x14ac:dyDescent="0.3">
      <c r="C55" s="56" t="s">
        <v>345</v>
      </c>
      <c r="D55" s="106" t="s">
        <v>351</v>
      </c>
      <c r="E55" s="106"/>
      <c r="F55" s="168">
        <f>F53*F29</f>
        <v>0</v>
      </c>
      <c r="G55" s="75" t="s">
        <v>332</v>
      </c>
    </row>
    <row r="56" spans="2:9" x14ac:dyDescent="0.3">
      <c r="C56" s="167"/>
      <c r="D56" s="106"/>
      <c r="E56" s="106"/>
      <c r="F56" s="106"/>
      <c r="G56" s="75"/>
    </row>
    <row r="57" spans="2:9" x14ac:dyDescent="0.3">
      <c r="C57" s="56" t="s">
        <v>346</v>
      </c>
      <c r="D57" s="106" t="s">
        <v>352</v>
      </c>
      <c r="E57" s="106"/>
      <c r="F57" s="168">
        <f>(F55*F23)/60</f>
        <v>0</v>
      </c>
      <c r="G57" s="75" t="s">
        <v>340</v>
      </c>
    </row>
    <row r="58" spans="2:9" x14ac:dyDescent="0.3">
      <c r="C58" s="167"/>
      <c r="D58" s="106"/>
      <c r="E58" s="106"/>
      <c r="F58" s="106"/>
      <c r="G58" s="75"/>
    </row>
    <row r="59" spans="2:9" x14ac:dyDescent="0.3">
      <c r="B59" s="15"/>
      <c r="C59" s="56" t="s">
        <v>347</v>
      </c>
      <c r="D59" s="7" t="s">
        <v>102</v>
      </c>
      <c r="E59" s="7"/>
      <c r="F59" s="169">
        <f>PARAMETERS!J8</f>
        <v>1.59</v>
      </c>
      <c r="G59" s="75" t="s">
        <v>103</v>
      </c>
      <c r="H59" s="7"/>
      <c r="I59" s="4" t="s">
        <v>385</v>
      </c>
    </row>
    <row r="60" spans="2:9" x14ac:dyDescent="0.3">
      <c r="B60" s="15"/>
      <c r="C60" s="57"/>
      <c r="D60" s="7"/>
      <c r="E60" s="7"/>
      <c r="F60" s="7"/>
      <c r="G60" s="75"/>
      <c r="H60" s="7"/>
    </row>
    <row r="61" spans="2:9" ht="27.6" customHeight="1" x14ac:dyDescent="0.3">
      <c r="B61" s="15"/>
      <c r="C61" s="56" t="s">
        <v>406</v>
      </c>
      <c r="D61" s="317" t="s">
        <v>353</v>
      </c>
      <c r="E61" s="317"/>
      <c r="F61" s="317"/>
      <c r="G61" s="75"/>
      <c r="H61" s="7"/>
    </row>
    <row r="62" spans="2:9" x14ac:dyDescent="0.3">
      <c r="B62" s="15"/>
      <c r="C62" s="57"/>
      <c r="D62" s="7"/>
      <c r="E62" s="7"/>
      <c r="F62" s="154">
        <f>F57*F59</f>
        <v>0</v>
      </c>
      <c r="G62" s="75" t="s">
        <v>106</v>
      </c>
      <c r="H62" s="7"/>
    </row>
    <row r="63" spans="2:9" x14ac:dyDescent="0.3">
      <c r="B63" s="15"/>
      <c r="C63" s="57"/>
      <c r="D63" s="7"/>
      <c r="E63" s="7"/>
      <c r="F63" s="7"/>
      <c r="G63" s="75"/>
      <c r="H63" s="7"/>
    </row>
    <row r="64" spans="2:9" x14ac:dyDescent="0.3">
      <c r="B64" s="15"/>
      <c r="C64" s="56" t="s">
        <v>409</v>
      </c>
      <c r="D64" s="7" t="s">
        <v>354</v>
      </c>
      <c r="E64" s="7"/>
      <c r="F64" s="148">
        <f>PARAMETERS!J9</f>
        <v>15.25</v>
      </c>
      <c r="G64" s="75" t="s">
        <v>348</v>
      </c>
      <c r="H64" s="7"/>
      <c r="I64" s="170" t="s">
        <v>383</v>
      </c>
    </row>
    <row r="65" spans="2:8" ht="15" thickBot="1" x14ac:dyDescent="0.35">
      <c r="B65" s="15"/>
      <c r="C65" s="56"/>
      <c r="D65" s="7"/>
      <c r="E65" s="7"/>
      <c r="F65" s="7"/>
      <c r="G65" s="75"/>
      <c r="H65" s="7"/>
    </row>
    <row r="66" spans="2:8" ht="15.6" thickTop="1" thickBot="1" x14ac:dyDescent="0.35">
      <c r="B66" s="15"/>
      <c r="C66" s="56"/>
      <c r="D66" s="7"/>
      <c r="E66" s="140" t="s">
        <v>132</v>
      </c>
      <c r="F66" s="171">
        <f>IF(OR(E36="WARRANTED",E37="WARRANTED",E38="WARRANTED",E39="WARRANTED"),ROUND((F64)*F62,-3),IF(OR(E36="PARTIALLY WARRANTED",E37="PARTIALLY WARRANTED",E38="PARTIALLY WARRANTED",E39="PARTIALLY WARRANTED"),ROUND((F64)*F62*0.25,-3),0))</f>
        <v>0</v>
      </c>
      <c r="G66" s="75"/>
      <c r="H66" s="7"/>
    </row>
    <row r="67" spans="2:8" ht="15" thickTop="1" x14ac:dyDescent="0.3">
      <c r="B67" s="15"/>
      <c r="C67" s="60"/>
      <c r="D67" s="132"/>
      <c r="E67" s="132"/>
      <c r="F67" s="132"/>
      <c r="G67" s="99"/>
      <c r="H67" s="7"/>
    </row>
    <row r="69" spans="2:8" x14ac:dyDescent="0.3">
      <c r="B69" s="15"/>
      <c r="C69" s="55" t="s">
        <v>65</v>
      </c>
      <c r="D69" s="82"/>
      <c r="E69" s="82"/>
      <c r="F69" s="82"/>
      <c r="G69" s="100"/>
      <c r="H69" s="7"/>
    </row>
    <row r="70" spans="2:8" x14ac:dyDescent="0.3">
      <c r="B70" s="15"/>
      <c r="C70" s="58"/>
      <c r="D70" s="7"/>
      <c r="E70" s="7"/>
      <c r="F70" s="7"/>
      <c r="G70" s="75"/>
      <c r="H70" s="7"/>
    </row>
    <row r="71" spans="2:8" ht="28.95" customHeight="1" x14ac:dyDescent="0.3">
      <c r="B71" s="15"/>
      <c r="C71" s="57" t="s">
        <v>118</v>
      </c>
      <c r="D71" s="317" t="s">
        <v>434</v>
      </c>
      <c r="E71" s="317"/>
      <c r="F71" s="317"/>
      <c r="G71" s="75"/>
      <c r="H71" s="7"/>
    </row>
    <row r="72" spans="2:8" x14ac:dyDescent="0.3">
      <c r="B72" s="15"/>
      <c r="C72" s="57"/>
      <c r="D72" s="7"/>
      <c r="E72" s="147">
        <f>IF(NOT(F66=0),F57,0)</f>
        <v>0</v>
      </c>
      <c r="F72" s="7" t="s">
        <v>106</v>
      </c>
      <c r="G72" s="75"/>
      <c r="H72" s="7"/>
    </row>
    <row r="73" spans="2:8" x14ac:dyDescent="0.3">
      <c r="B73" s="15"/>
      <c r="C73" s="57"/>
      <c r="D73" s="7"/>
      <c r="E73" s="7"/>
      <c r="F73" s="7"/>
      <c r="G73" s="75"/>
      <c r="H73" s="7"/>
    </row>
    <row r="74" spans="2:8" ht="57.75" customHeight="1" x14ac:dyDescent="0.3">
      <c r="B74" s="15"/>
      <c r="C74" s="57" t="s">
        <v>119</v>
      </c>
      <c r="D74" s="359" t="s">
        <v>179</v>
      </c>
      <c r="E74" s="359"/>
      <c r="F74" s="359"/>
      <c r="G74" s="75"/>
      <c r="H74" s="7"/>
    </row>
    <row r="75" spans="2:8" x14ac:dyDescent="0.3">
      <c r="B75" s="15"/>
      <c r="C75" s="57"/>
      <c r="D75" s="108"/>
      <c r="E75" s="26">
        <f>PARAMETERS!E23</f>
        <v>7.0000000000000007E-2</v>
      </c>
      <c r="F75" s="22" t="s">
        <v>112</v>
      </c>
      <c r="G75" s="75"/>
      <c r="H75" s="7"/>
    </row>
    <row r="76" spans="2:8" x14ac:dyDescent="0.3">
      <c r="B76" s="15"/>
      <c r="C76" s="57"/>
      <c r="D76" s="108"/>
      <c r="E76" s="22"/>
      <c r="F76" s="22"/>
      <c r="G76" s="75"/>
      <c r="H76" s="7"/>
    </row>
    <row r="77" spans="2:8" x14ac:dyDescent="0.3">
      <c r="B77" s="15"/>
      <c r="C77" s="57" t="s">
        <v>123</v>
      </c>
      <c r="D77" s="28" t="s">
        <v>120</v>
      </c>
      <c r="E77" s="27">
        <f>E75*E72*60</f>
        <v>0</v>
      </c>
      <c r="F77" s="22" t="s">
        <v>113</v>
      </c>
      <c r="G77" s="75"/>
      <c r="H77" s="7"/>
    </row>
    <row r="78" spans="2:8" x14ac:dyDescent="0.3">
      <c r="B78" s="15"/>
      <c r="C78" s="57"/>
      <c r="D78" s="28"/>
      <c r="E78" s="22"/>
      <c r="F78" s="22"/>
      <c r="G78" s="75"/>
      <c r="H78" s="7"/>
    </row>
    <row r="79" spans="2:8" x14ac:dyDescent="0.3">
      <c r="B79" s="15"/>
      <c r="C79" s="57" t="s">
        <v>124</v>
      </c>
      <c r="D79" s="29" t="s">
        <v>121</v>
      </c>
      <c r="E79" s="26">
        <f>PARAMETERS!E22</f>
        <v>2.13</v>
      </c>
      <c r="F79" s="22" t="s">
        <v>114</v>
      </c>
      <c r="G79" s="75"/>
      <c r="H79" s="7"/>
    </row>
    <row r="80" spans="2:8" ht="15" thickBot="1" x14ac:dyDescent="0.35">
      <c r="B80" s="15"/>
      <c r="C80" s="58"/>
      <c r="D80" s="29"/>
      <c r="E80" s="22"/>
      <c r="F80" s="22"/>
      <c r="G80" s="75"/>
      <c r="H80" s="7"/>
    </row>
    <row r="81" spans="2:10" ht="15.6" thickTop="1" thickBot="1" x14ac:dyDescent="0.35">
      <c r="B81" s="15"/>
      <c r="C81" s="58"/>
      <c r="D81" s="29"/>
      <c r="E81" s="140" t="s">
        <v>181</v>
      </c>
      <c r="F81" s="141">
        <f>E79*E77</f>
        <v>0</v>
      </c>
      <c r="G81" s="75"/>
      <c r="H81" s="7"/>
    </row>
    <row r="82" spans="2:10" ht="15" thickTop="1" x14ac:dyDescent="0.3">
      <c r="B82" s="15"/>
      <c r="C82" s="58"/>
      <c r="D82" s="25"/>
      <c r="E82" s="23"/>
      <c r="F82" s="23"/>
      <c r="G82" s="75"/>
      <c r="H82" s="7"/>
    </row>
    <row r="83" spans="2:10" ht="28.8" x14ac:dyDescent="0.3">
      <c r="B83" s="15"/>
      <c r="C83" s="57" t="s">
        <v>126</v>
      </c>
      <c r="D83" s="107" t="s">
        <v>180</v>
      </c>
      <c r="E83" s="26">
        <f>PARAMETERS!E24</f>
        <v>8.9200000000000008E-3</v>
      </c>
      <c r="F83" s="15" t="s">
        <v>115</v>
      </c>
      <c r="G83" s="75"/>
      <c r="H83" s="7"/>
    </row>
    <row r="84" spans="2:10" x14ac:dyDescent="0.3">
      <c r="B84" s="15"/>
      <c r="C84" s="57"/>
      <c r="D84" s="107"/>
      <c r="E84" s="24"/>
      <c r="F84" s="15"/>
      <c r="G84" s="75"/>
      <c r="H84" s="7"/>
    </row>
    <row r="85" spans="2:10" ht="28.8" x14ac:dyDescent="0.3">
      <c r="B85" s="15"/>
      <c r="C85" s="57" t="s">
        <v>127</v>
      </c>
      <c r="D85" s="107" t="s">
        <v>129</v>
      </c>
      <c r="E85" s="27">
        <f>E83*E77</f>
        <v>0</v>
      </c>
      <c r="F85" s="15" t="s">
        <v>116</v>
      </c>
      <c r="G85" s="75"/>
      <c r="H85" s="7"/>
    </row>
    <row r="86" spans="2:10" x14ac:dyDescent="0.3">
      <c r="B86" s="15"/>
      <c r="C86" s="57"/>
      <c r="D86" s="107"/>
      <c r="E86" s="24"/>
      <c r="F86" s="15"/>
      <c r="G86" s="75"/>
      <c r="H86" s="7"/>
    </row>
    <row r="87" spans="2:10" x14ac:dyDescent="0.3">
      <c r="B87" s="15"/>
      <c r="C87" s="57" t="s">
        <v>128</v>
      </c>
      <c r="D87" s="30" t="s">
        <v>184</v>
      </c>
      <c r="E87" s="278">
        <f>PARAMETERS!E25</f>
        <v>28.24</v>
      </c>
      <c r="F87" s="7" t="s">
        <v>117</v>
      </c>
      <c r="G87" s="75"/>
      <c r="H87" s="7"/>
      <c r="I87" s="4" t="s">
        <v>183</v>
      </c>
      <c r="J87" s="172"/>
    </row>
    <row r="88" spans="2:10" ht="15" thickBot="1" x14ac:dyDescent="0.35">
      <c r="B88" s="15"/>
      <c r="C88" s="58"/>
      <c r="D88" s="22"/>
      <c r="E88" s="22"/>
      <c r="F88" s="22"/>
      <c r="G88" s="75"/>
      <c r="H88" s="7"/>
    </row>
    <row r="89" spans="2:10" ht="15.6" thickTop="1" thickBot="1" x14ac:dyDescent="0.35">
      <c r="B89" s="15"/>
      <c r="C89" s="58"/>
      <c r="D89" s="25"/>
      <c r="E89" s="140" t="s">
        <v>182</v>
      </c>
      <c r="F89" s="141">
        <f>E87*E85</f>
        <v>0</v>
      </c>
      <c r="G89" s="75"/>
      <c r="H89" s="7"/>
    </row>
    <row r="90" spans="2:10" ht="15.6" thickTop="1" thickBot="1" x14ac:dyDescent="0.35">
      <c r="B90" s="15"/>
      <c r="C90" s="58"/>
      <c r="D90" s="25"/>
      <c r="E90" s="140"/>
      <c r="F90" s="23"/>
      <c r="G90" s="75"/>
      <c r="H90" s="7"/>
    </row>
    <row r="91" spans="2:10" ht="15.6" thickTop="1" thickBot="1" x14ac:dyDescent="0.35">
      <c r="B91" s="15"/>
      <c r="C91" s="58"/>
      <c r="D91" s="7"/>
      <c r="E91" s="140" t="s">
        <v>130</v>
      </c>
      <c r="F91" s="141">
        <f>IF(OR(E36="WARRANTED",E37="WARRANTED",E38="WARRANTED",E39="WARRANTED"),ROUND(F89+F81,-3),IF(OR(E36="PARTIALLY WARRANTED",E37="PARTIALLY WARRANTED",E38="PARTIALLY WARRANTED",E39="PARTIALLY WARRANTED"),ROUND((F89+F81)*0.25,-3),0))</f>
        <v>0</v>
      </c>
      <c r="G91" s="75"/>
      <c r="H91" s="7"/>
    </row>
    <row r="92" spans="2:10" ht="15" thickTop="1" x14ac:dyDescent="0.3">
      <c r="B92" s="15"/>
      <c r="C92" s="60"/>
      <c r="D92" s="132"/>
      <c r="E92" s="132"/>
      <c r="F92" s="132"/>
      <c r="G92" s="99"/>
      <c r="H92" s="7"/>
    </row>
    <row r="93" spans="2:10" ht="15" thickBot="1" x14ac:dyDescent="0.35"/>
    <row r="94" spans="2:10" ht="19.2" thickTop="1" thickBot="1" x14ac:dyDescent="0.35">
      <c r="E94" s="94" t="s">
        <v>132</v>
      </c>
      <c r="F94" s="93">
        <f>F91+F66</f>
        <v>0</v>
      </c>
    </row>
    <row r="95" spans="2:10" ht="15" thickTop="1" x14ac:dyDescent="0.3"/>
  </sheetData>
  <mergeCells count="29">
    <mergeCell ref="D71:F71"/>
    <mergeCell ref="D74:F74"/>
    <mergeCell ref="D2:F2"/>
    <mergeCell ref="D61:F61"/>
    <mergeCell ref="E5:F5"/>
    <mergeCell ref="E6:F6"/>
    <mergeCell ref="E7:F7"/>
    <mergeCell ref="E10:F10"/>
    <mergeCell ref="D35:F35"/>
    <mergeCell ref="D14:G14"/>
    <mergeCell ref="F15:G15"/>
    <mergeCell ref="D22:G22"/>
    <mergeCell ref="D25:G25"/>
    <mergeCell ref="D31:G31"/>
    <mergeCell ref="F16:G16"/>
    <mergeCell ref="E36:F36"/>
    <mergeCell ref="F17:G17"/>
    <mergeCell ref="F18:G18"/>
    <mergeCell ref="F19:G19"/>
    <mergeCell ref="F20:G20"/>
    <mergeCell ref="D53:E53"/>
    <mergeCell ref="D48:G48"/>
    <mergeCell ref="D28:G28"/>
    <mergeCell ref="D51:E51"/>
    <mergeCell ref="E40:F40"/>
    <mergeCell ref="E41:F41"/>
    <mergeCell ref="E37:F37"/>
    <mergeCell ref="E38:F38"/>
    <mergeCell ref="E39:F39"/>
  </mergeCells>
  <conditionalFormatting sqref="C46:F47 C49:F50 C48:D48 C52:F52 C51:D51 G62 F63 E65:F65 F64:G64 C71 C53:D56 C58:D59 D57">
    <cfRule type="expression" dxfId="140" priority="139">
      <formula>"($C$15='NO')"</formula>
    </cfRule>
  </conditionalFormatting>
  <conditionalFormatting sqref="C60:G60 G61 C61:D63 D64:D66 G66 C59:D59 E65 F62:G65">
    <cfRule type="expression" dxfId="139" priority="97">
      <formula>#REF!="NO"</formula>
    </cfRule>
  </conditionalFormatting>
  <conditionalFormatting sqref="C60:F60 C61:D61 F62">
    <cfRule type="expression" dxfId="138" priority="99">
      <formula>"($C$15='NO')"</formula>
    </cfRule>
  </conditionalFormatting>
  <conditionalFormatting sqref="C67:G67">
    <cfRule type="expression" dxfId="137" priority="98">
      <formula>#REF!="NO"</formula>
    </cfRule>
  </conditionalFormatting>
  <conditionalFormatting sqref="C61">
    <cfRule type="expression" dxfId="136" priority="86">
      <formula>"($C$15='NO')"</formula>
    </cfRule>
  </conditionalFormatting>
  <conditionalFormatting sqref="F59">
    <cfRule type="expression" dxfId="135" priority="87">
      <formula>#REF!="NO"</formula>
    </cfRule>
  </conditionalFormatting>
  <conditionalFormatting sqref="C62:D63 D64:D66">
    <cfRule type="expression" dxfId="134" priority="96">
      <formula>"($C$15='NO')"</formula>
    </cfRule>
  </conditionalFormatting>
  <conditionalFormatting sqref="C59">
    <cfRule type="expression" dxfId="133" priority="89">
      <formula>"($C$15='NO')"</formula>
    </cfRule>
  </conditionalFormatting>
  <conditionalFormatting sqref="F59">
    <cfRule type="expression" dxfId="132" priority="88">
      <formula>"($C$15='NO')"</formula>
    </cfRule>
  </conditionalFormatting>
  <conditionalFormatting sqref="C64:C66">
    <cfRule type="expression" dxfId="131" priority="82">
      <formula>#REF!="NO"</formula>
    </cfRule>
  </conditionalFormatting>
  <conditionalFormatting sqref="C64:C66">
    <cfRule type="expression" dxfId="130" priority="83">
      <formula>"($C$15='NO')"</formula>
    </cfRule>
  </conditionalFormatting>
  <conditionalFormatting sqref="C64:C66">
    <cfRule type="expression" dxfId="129" priority="81">
      <formula>"($C$15='NO')"</formula>
    </cfRule>
  </conditionalFormatting>
  <conditionalFormatting sqref="E63">
    <cfRule type="expression" dxfId="128" priority="80">
      <formula>"($C$15='NO')"</formula>
    </cfRule>
  </conditionalFormatting>
  <conditionalFormatting sqref="E63">
    <cfRule type="expression" dxfId="127" priority="79">
      <formula>#REF!="NO"</formula>
    </cfRule>
  </conditionalFormatting>
  <conditionalFormatting sqref="E66:F66">
    <cfRule type="expression" dxfId="126" priority="77">
      <formula>$E$43="NO"</formula>
    </cfRule>
  </conditionalFormatting>
  <conditionalFormatting sqref="F66">
    <cfRule type="expression" dxfId="125" priority="78">
      <formula>"($C$15='NO')"</formula>
    </cfRule>
  </conditionalFormatting>
  <conditionalFormatting sqref="E66">
    <cfRule type="expression" dxfId="124" priority="76">
      <formula>"($C$15='NO')"</formula>
    </cfRule>
  </conditionalFormatting>
  <conditionalFormatting sqref="E72 D74 E75:F75">
    <cfRule type="expression" dxfId="123" priority="42">
      <formula>"($C$15='NO')"</formula>
    </cfRule>
  </conditionalFormatting>
  <conditionalFormatting sqref="C73:F73 C72:D72 C78:F78 D79:F79 D76:F77 D75">
    <cfRule type="expression" dxfId="122" priority="44">
      <formula>"($C$15='NO')"</formula>
    </cfRule>
  </conditionalFormatting>
  <conditionalFormatting sqref="C69:F70">
    <cfRule type="expression" dxfId="121" priority="43">
      <formula>"($C$15='NO')"</formula>
    </cfRule>
  </conditionalFormatting>
  <conditionalFormatting sqref="D71">
    <cfRule type="expression" dxfId="120" priority="32">
      <formula>"($C$15='NO')"</formula>
    </cfRule>
  </conditionalFormatting>
  <conditionalFormatting sqref="F72">
    <cfRule type="expression" dxfId="119" priority="30">
      <formula>"($C$15='NO')"</formula>
    </cfRule>
  </conditionalFormatting>
  <conditionalFormatting sqref="C74:C76">
    <cfRule type="expression" dxfId="118" priority="27">
      <formula>"($C$15='NO')"</formula>
    </cfRule>
  </conditionalFormatting>
  <conditionalFormatting sqref="C77">
    <cfRule type="expression" dxfId="117" priority="26">
      <formula>"($C$15='NO')"</formula>
    </cfRule>
  </conditionalFormatting>
  <conditionalFormatting sqref="C79">
    <cfRule type="expression" dxfId="116" priority="25">
      <formula>"($C$15='NO')"</formula>
    </cfRule>
  </conditionalFormatting>
  <conditionalFormatting sqref="F81">
    <cfRule type="expression" dxfId="115" priority="24">
      <formula>"($C$15='NO')"</formula>
    </cfRule>
  </conditionalFormatting>
  <conditionalFormatting sqref="E81">
    <cfRule type="expression" dxfId="114" priority="22">
      <formula>"($C$15='NO')"</formula>
    </cfRule>
  </conditionalFormatting>
  <conditionalFormatting sqref="C83:C84">
    <cfRule type="expression" dxfId="113" priority="21">
      <formula>"($C$15='NO')"</formula>
    </cfRule>
  </conditionalFormatting>
  <conditionalFormatting sqref="C85:C86">
    <cfRule type="expression" dxfId="112" priority="20">
      <formula>"($C$15='NO')"</formula>
    </cfRule>
  </conditionalFormatting>
  <conditionalFormatting sqref="C87">
    <cfRule type="expression" dxfId="111" priority="19">
      <formula>"($C$15='NO')"</formula>
    </cfRule>
  </conditionalFormatting>
  <conditionalFormatting sqref="F89">
    <cfRule type="expression" dxfId="110" priority="18">
      <formula>"($C$15='NO')"</formula>
    </cfRule>
  </conditionalFormatting>
  <conditionalFormatting sqref="E89:E90">
    <cfRule type="expression" dxfId="109" priority="16">
      <formula>"($C$15='NO')"</formula>
    </cfRule>
  </conditionalFormatting>
  <conditionalFormatting sqref="F91">
    <cfRule type="expression" dxfId="108" priority="15">
      <formula>"($C$15='NO')"</formula>
    </cfRule>
  </conditionalFormatting>
  <conditionalFormatting sqref="E91">
    <cfRule type="expression" dxfId="107" priority="13">
      <formula>"($C$15='NO')"</formula>
    </cfRule>
  </conditionalFormatting>
  <conditionalFormatting sqref="E94">
    <cfRule type="expression" dxfId="106" priority="12">
      <formula>$E$36="NO"</formula>
    </cfRule>
  </conditionalFormatting>
  <conditionalFormatting sqref="E94">
    <cfRule type="expression" dxfId="105" priority="11">
      <formula>"($C$15='NO')"</formula>
    </cfRule>
  </conditionalFormatting>
  <conditionalFormatting sqref="F94">
    <cfRule type="expression" dxfId="104" priority="9">
      <formula>$E$36="NO"</formula>
    </cfRule>
  </conditionalFormatting>
  <conditionalFormatting sqref="F94">
    <cfRule type="expression" dxfId="103" priority="10">
      <formula>"($C$15='NO')"</formula>
    </cfRule>
  </conditionalFormatting>
  <conditionalFormatting sqref="C55">
    <cfRule type="expression" dxfId="102" priority="5">
      <formula>#REF!="NO"</formula>
    </cfRule>
  </conditionalFormatting>
  <conditionalFormatting sqref="C55">
    <cfRule type="expression" dxfId="101" priority="4">
      <formula>"($C$15='NO')"</formula>
    </cfRule>
  </conditionalFormatting>
  <conditionalFormatting sqref="C57">
    <cfRule type="expression" dxfId="100" priority="2">
      <formula>#REF!="NO"</formula>
    </cfRule>
  </conditionalFormatting>
  <conditionalFormatting sqref="C57">
    <cfRule type="expression" dxfId="99" priority="3">
      <formula>"($C$15='NO')"</formula>
    </cfRule>
  </conditionalFormatting>
  <conditionalFormatting sqref="C57">
    <cfRule type="expression" dxfId="98" priority="1">
      <formula>"($C$15='NO')"</formula>
    </cfRule>
  </conditionalFormatting>
  <dataValidations disablePrompts="1" count="1">
    <dataValidation showInputMessage="1" showErrorMessage="1" sqref="E43 E10:F11"/>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41" id="{D6DE5E90-8E10-4B3D-B28E-ED911AD2C4D4}">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E90</xm:sqref>
        </x14:conditionalFormatting>
        <x14:conditionalFormatting xmlns:xm="http://schemas.microsoft.com/office/excel/2006/main">
          <x14:cfRule type="expression" priority="31" id="{00F80AA1-8D50-47EA-B68B-BF183C2D42FF}">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D71</xm:sqref>
        </x14:conditionalFormatting>
        <x14:conditionalFormatting xmlns:xm="http://schemas.microsoft.com/office/excel/2006/main">
          <x14:cfRule type="expression" priority="29" id="{F8B0E1FF-0F8E-44B4-90BE-361F41CAC573}">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F72</xm:sqref>
        </x14:conditionalFormatting>
        <x14:conditionalFormatting xmlns:xm="http://schemas.microsoft.com/office/excel/2006/main">
          <x14:cfRule type="expression" priority="28" id="{C9069A06-2570-42BF-A01F-2DE8618BDAC6}">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E72</xm:sqref>
        </x14:conditionalFormatting>
        <x14:conditionalFormatting xmlns:xm="http://schemas.microsoft.com/office/excel/2006/main">
          <x14:cfRule type="expression" priority="23" id="{1C954CA3-1E5F-4CF9-BA1E-3FCFC7913AF9}">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E81:F81</xm:sqref>
        </x14:conditionalFormatting>
        <x14:conditionalFormatting xmlns:xm="http://schemas.microsoft.com/office/excel/2006/main">
          <x14:cfRule type="expression" priority="17" id="{2584D07A-C79F-4FB3-8F63-AB4367E03EE5}">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E89:F89</xm:sqref>
        </x14:conditionalFormatting>
        <x14:conditionalFormatting xmlns:xm="http://schemas.microsoft.com/office/excel/2006/main">
          <x14:cfRule type="expression" priority="14" id="{F6A7E351-5408-4511-9029-382A5BF08A50}">
            <xm:f>'C:\CHI_TPTO\191595003 WisDOT System Manager\3 Project Data\TISMO - TIP\0 Benefits Analysis\[Appropriation Project Benefits REV.xlsx]1 New Signal Benefits'!#REF!="NO"</xm:f>
            <x14:dxf>
              <font>
                <color theme="0" tint="-0.24994659260841701"/>
              </font>
              <fill>
                <patternFill>
                  <bgColor theme="0" tint="-0.34998626667073579"/>
                </patternFill>
              </fill>
            </x14:dxf>
          </x14:cfRule>
          <xm:sqref>E91:F91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showInputMessage="1" showErrorMessage="1">
          <x14:formula1>
            <xm:f>'drop-downs'!$AR$2:$AR$4</xm:f>
          </x14:formula1>
          <xm:sqref>G15:G16 F15:F20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sheetPr>
  <dimension ref="B1:W165"/>
  <sheetViews>
    <sheetView tabSelected="1" topLeftCell="A108" zoomScale="85" zoomScaleNormal="85" zoomScaleSheetLayoutView="80" workbookViewId="0">
      <selection activeCell="D129" sqref="D129:G129"/>
    </sheetView>
  </sheetViews>
  <sheetFormatPr defaultColWidth="8.88671875" defaultRowHeight="14.4" x14ac:dyDescent="0.3"/>
  <cols>
    <col min="1" max="1" width="1.6640625" style="4" customWidth="1"/>
    <col min="2" max="2" width="2.109375" style="4" customWidth="1"/>
    <col min="3" max="3" width="9.88671875" style="4" customWidth="1"/>
    <col min="4" max="4" width="13.88671875" style="4" customWidth="1"/>
    <col min="5" max="5" width="28.88671875" style="4" customWidth="1"/>
    <col min="6" max="6" width="17.88671875" style="4" customWidth="1"/>
    <col min="7" max="7" width="22.6640625" style="4" customWidth="1"/>
    <col min="8" max="8" width="15.33203125" style="4" customWidth="1"/>
    <col min="9" max="9" width="12" style="4" customWidth="1"/>
    <col min="10" max="10" width="1.33203125" style="4" customWidth="1"/>
    <col min="11" max="12" width="0" style="4" hidden="1" customWidth="1"/>
    <col min="13" max="16384" width="8.88671875" style="4"/>
  </cols>
  <sheetData>
    <row r="1" spans="2:13" x14ac:dyDescent="0.3">
      <c r="C1" s="428"/>
      <c r="D1" s="429" t="s">
        <v>488</v>
      </c>
      <c r="E1" s="429"/>
      <c r="F1" s="429"/>
      <c r="G1" s="429"/>
      <c r="H1" s="429"/>
    </row>
    <row r="2" spans="2:13" ht="31.2" customHeight="1" x14ac:dyDescent="0.3">
      <c r="C2" s="428"/>
      <c r="D2" s="316" t="s">
        <v>660</v>
      </c>
      <c r="E2" s="316"/>
      <c r="F2" s="316"/>
      <c r="G2" s="316"/>
      <c r="H2" s="316"/>
    </row>
    <row r="3" spans="2:13" ht="14.4" customHeight="1" x14ac:dyDescent="0.3">
      <c r="B3" s="7"/>
      <c r="C3" s="7"/>
      <c r="D3" s="377" t="s">
        <v>329</v>
      </c>
      <c r="E3" s="377"/>
      <c r="F3" s="377"/>
      <c r="G3" s="117"/>
      <c r="H3" s="117"/>
    </row>
    <row r="4" spans="2:13" ht="14.4" customHeight="1" x14ac:dyDescent="0.3">
      <c r="B4" s="7"/>
      <c r="C4" s="7"/>
      <c r="D4" s="119"/>
      <c r="E4" s="119"/>
      <c r="F4" s="119"/>
      <c r="G4" s="117"/>
      <c r="H4" s="117"/>
    </row>
    <row r="5" spans="2:13" ht="14.4" customHeight="1" x14ac:dyDescent="0.3">
      <c r="B5" s="7"/>
      <c r="D5" s="7"/>
      <c r="E5" s="20" t="s">
        <v>2</v>
      </c>
      <c r="F5" s="380" t="str">
        <f>IF('Project Information'!E5=0, "-",'Project Information'!E5)</f>
        <v>-</v>
      </c>
      <c r="G5" s="380"/>
      <c r="H5" s="117"/>
    </row>
    <row r="6" spans="2:13" ht="14.4" customHeight="1" x14ac:dyDescent="0.3">
      <c r="B6" s="7"/>
      <c r="D6" s="7"/>
      <c r="E6" s="20" t="s">
        <v>0</v>
      </c>
      <c r="F6" s="380" t="str">
        <f>IF('Project Information'!E6=0, "-",'Project Information'!E6)</f>
        <v>-</v>
      </c>
      <c r="G6" s="380"/>
      <c r="H6" s="117"/>
    </row>
    <row r="7" spans="2:13" ht="14.4" customHeight="1" x14ac:dyDescent="0.3">
      <c r="B7" s="7"/>
      <c r="D7" s="7"/>
      <c r="E7" s="20" t="s">
        <v>160</v>
      </c>
      <c r="F7" s="380" t="str">
        <f>IF('Project Information'!E7=0, "-",'Project Information'!E7)</f>
        <v>-</v>
      </c>
      <c r="G7" s="380"/>
      <c r="H7" s="117"/>
    </row>
    <row r="8" spans="2:13" ht="14.4" customHeight="1" x14ac:dyDescent="0.3">
      <c r="B8" s="7"/>
      <c r="D8" s="7"/>
      <c r="E8" s="20"/>
      <c r="F8" s="117"/>
      <c r="G8" s="117"/>
      <c r="H8" s="117"/>
    </row>
    <row r="9" spans="2:13" ht="14.4" customHeight="1" x14ac:dyDescent="0.3">
      <c r="B9" s="7"/>
      <c r="D9" s="7"/>
      <c r="E9" s="7"/>
      <c r="F9" s="20"/>
      <c r="G9" s="7"/>
      <c r="H9" s="117"/>
    </row>
    <row r="10" spans="2:13" ht="14.4" customHeight="1" x14ac:dyDescent="0.3">
      <c r="B10" s="7"/>
      <c r="C10" s="50">
        <v>1</v>
      </c>
      <c r="D10" s="317" t="s">
        <v>233</v>
      </c>
      <c r="E10" s="430"/>
      <c r="F10" s="366"/>
      <c r="G10" s="368"/>
      <c r="H10" s="117"/>
    </row>
    <row r="11" spans="2:13" ht="14.4" customHeight="1" x14ac:dyDescent="0.3">
      <c r="B11" s="7"/>
      <c r="C11" s="50"/>
      <c r="E11" s="21"/>
      <c r="F11" s="46"/>
      <c r="G11" s="7"/>
      <c r="H11" s="117"/>
    </row>
    <row r="12" spans="2:13" ht="59.4" customHeight="1" x14ac:dyDescent="0.3">
      <c r="B12" s="7"/>
      <c r="C12" s="50">
        <v>2</v>
      </c>
      <c r="D12" s="377" t="s">
        <v>661</v>
      </c>
      <c r="E12" s="377"/>
      <c r="F12" s="377"/>
      <c r="G12" s="377"/>
      <c r="H12" s="377"/>
      <c r="M12" s="219"/>
    </row>
    <row r="13" spans="2:13" x14ac:dyDescent="0.3">
      <c r="C13" s="50"/>
      <c r="E13" s="20" t="s">
        <v>662</v>
      </c>
      <c r="F13" s="405" t="str">
        <f>H29</f>
        <v>WARRANTED</v>
      </c>
      <c r="G13" s="406"/>
      <c r="H13" s="111"/>
    </row>
    <row r="14" spans="2:13" x14ac:dyDescent="0.3">
      <c r="C14" s="50"/>
      <c r="E14" s="20" t="s">
        <v>663</v>
      </c>
      <c r="F14" s="405" t="str">
        <f>H43</f>
        <v>WARRANTED</v>
      </c>
      <c r="G14" s="406"/>
      <c r="H14" s="111"/>
    </row>
    <row r="15" spans="2:13" x14ac:dyDescent="0.3">
      <c r="C15" s="50"/>
      <c r="E15" s="20" t="s">
        <v>664</v>
      </c>
      <c r="F15" s="405" t="str">
        <f>H54</f>
        <v>WARRANTED</v>
      </c>
      <c r="G15" s="406"/>
      <c r="H15" s="111"/>
    </row>
    <row r="16" spans="2:13" x14ac:dyDescent="0.3">
      <c r="C16" s="50"/>
      <c r="E16" s="20" t="s">
        <v>665</v>
      </c>
      <c r="F16" s="405" t="str">
        <f>H64</f>
        <v>WARRANTED</v>
      </c>
      <c r="G16" s="406"/>
      <c r="H16" s="111"/>
    </row>
    <row r="17" spans="2:21" x14ac:dyDescent="0.3">
      <c r="C17" s="50"/>
      <c r="E17" s="20" t="s">
        <v>666</v>
      </c>
      <c r="F17" s="405" t="str">
        <f>H73</f>
        <v>WARRANTED</v>
      </c>
      <c r="G17" s="406"/>
      <c r="H17" s="111"/>
    </row>
    <row r="18" spans="2:21" x14ac:dyDescent="0.3">
      <c r="C18" s="50"/>
      <c r="E18" s="20" t="s">
        <v>667</v>
      </c>
      <c r="F18" s="405" t="str">
        <f>H82</f>
        <v>WARRANTED</v>
      </c>
      <c r="G18" s="406"/>
      <c r="H18" s="111"/>
    </row>
    <row r="19" spans="2:21" ht="15" customHeight="1" x14ac:dyDescent="0.3">
      <c r="B19" s="7"/>
      <c r="C19" s="50"/>
      <c r="D19" s="119"/>
      <c r="E19" s="119"/>
      <c r="F19" s="119"/>
      <c r="G19" s="119"/>
      <c r="H19" s="117"/>
    </row>
    <row r="20" spans="2:21" ht="14.4" customHeight="1" x14ac:dyDescent="0.3">
      <c r="B20" s="85" t="s">
        <v>668</v>
      </c>
      <c r="C20" s="115"/>
      <c r="D20" s="117"/>
      <c r="E20" s="117"/>
      <c r="F20" s="117"/>
      <c r="G20" s="117"/>
      <c r="H20" s="117"/>
    </row>
    <row r="21" spans="2:21" ht="28.2" customHeight="1" x14ac:dyDescent="0.3">
      <c r="B21" s="395" t="s">
        <v>659</v>
      </c>
      <c r="C21" s="395"/>
      <c r="D21" s="395"/>
      <c r="E21" s="395"/>
      <c r="F21" s="395"/>
      <c r="G21" s="395"/>
      <c r="H21" s="395"/>
      <c r="I21" s="395"/>
      <c r="J21" s="395"/>
    </row>
    <row r="22" spans="2:21" ht="6" customHeight="1" x14ac:dyDescent="0.3">
      <c r="B22" s="81"/>
      <c r="C22" s="82"/>
      <c r="D22" s="82"/>
      <c r="E22" s="82"/>
      <c r="F22" s="82"/>
      <c r="G22" s="82"/>
      <c r="H22" s="82"/>
      <c r="I22" s="83"/>
      <c r="J22" s="84"/>
      <c r="K22" s="15"/>
      <c r="L22" s="15"/>
      <c r="M22" s="15"/>
      <c r="N22" s="15"/>
      <c r="O22" s="15"/>
      <c r="P22" s="15"/>
      <c r="Q22" s="15"/>
      <c r="R22" s="15"/>
      <c r="S22" s="15"/>
      <c r="T22" s="15"/>
      <c r="U22" s="15"/>
    </row>
    <row r="23" spans="2:21" x14ac:dyDescent="0.3">
      <c r="B23" s="58"/>
      <c r="C23" s="79" t="s">
        <v>669</v>
      </c>
      <c r="D23" s="79"/>
      <c r="E23" s="79"/>
      <c r="F23" s="78"/>
      <c r="G23" s="78"/>
      <c r="H23" s="78"/>
      <c r="I23" s="15"/>
      <c r="J23" s="68"/>
      <c r="K23" s="15"/>
      <c r="L23" s="111" t="s">
        <v>356</v>
      </c>
      <c r="M23" s="15"/>
      <c r="N23" s="15"/>
      <c r="O23" s="15"/>
      <c r="P23" s="15"/>
      <c r="Q23" s="15"/>
      <c r="R23" s="15"/>
      <c r="S23" s="15"/>
      <c r="T23" s="15"/>
      <c r="U23" s="15"/>
    </row>
    <row r="24" spans="2:21" ht="6" customHeight="1" x14ac:dyDescent="0.3">
      <c r="B24" s="58"/>
      <c r="C24" s="73"/>
      <c r="D24" s="73"/>
      <c r="E24" s="73"/>
      <c r="F24" s="121"/>
      <c r="G24" s="121"/>
      <c r="H24" s="121"/>
      <c r="I24" s="15"/>
      <c r="J24" s="68"/>
      <c r="K24" s="15"/>
      <c r="L24" s="15"/>
      <c r="M24" s="15"/>
      <c r="N24" s="15"/>
      <c r="O24" s="15"/>
      <c r="P24" s="15"/>
      <c r="Q24" s="15"/>
      <c r="R24" s="15"/>
      <c r="S24" s="15"/>
      <c r="T24" s="15"/>
      <c r="U24" s="15"/>
    </row>
    <row r="25" spans="2:21" x14ac:dyDescent="0.3">
      <c r="B25" s="58"/>
      <c r="C25" s="435" t="s">
        <v>263</v>
      </c>
      <c r="D25" s="435"/>
      <c r="E25" s="435"/>
      <c r="F25" s="435"/>
      <c r="G25" s="435"/>
      <c r="H25" s="435"/>
      <c r="I25" s="52" t="s">
        <v>262</v>
      </c>
      <c r="J25" s="75"/>
      <c r="K25" s="15"/>
      <c r="L25" s="15"/>
      <c r="M25" s="15"/>
      <c r="N25" s="15"/>
      <c r="O25" s="15"/>
      <c r="P25" s="15"/>
      <c r="Q25" s="15"/>
      <c r="R25" s="15"/>
      <c r="S25" s="15"/>
      <c r="T25" s="15"/>
      <c r="U25" s="15"/>
    </row>
    <row r="26" spans="2:21" ht="29.4" customHeight="1" x14ac:dyDescent="0.3">
      <c r="B26" s="58"/>
      <c r="C26" s="52">
        <v>1</v>
      </c>
      <c r="D26" s="411" t="s">
        <v>303</v>
      </c>
      <c r="E26" s="412"/>
      <c r="F26" s="412"/>
      <c r="G26" s="412"/>
      <c r="H26" s="413"/>
      <c r="I26" s="118" t="s">
        <v>4</v>
      </c>
      <c r="J26" s="75"/>
      <c r="K26" s="128"/>
      <c r="L26" s="15"/>
      <c r="M26" s="15"/>
      <c r="N26" s="15"/>
      <c r="O26" s="15"/>
      <c r="P26" s="15"/>
      <c r="Q26" s="15"/>
      <c r="R26" s="15"/>
      <c r="S26" s="15"/>
      <c r="T26" s="15"/>
      <c r="U26" s="15"/>
    </row>
    <row r="27" spans="2:21" ht="43.95" customHeight="1" x14ac:dyDescent="0.3">
      <c r="B27" s="58"/>
      <c r="C27" s="52">
        <v>2</v>
      </c>
      <c r="D27" s="411" t="s">
        <v>304</v>
      </c>
      <c r="E27" s="412"/>
      <c r="F27" s="412"/>
      <c r="G27" s="412"/>
      <c r="H27" s="413"/>
      <c r="I27" s="118" t="s">
        <v>4</v>
      </c>
      <c r="J27" s="75"/>
      <c r="K27" s="128"/>
      <c r="L27" s="15"/>
      <c r="M27" s="15"/>
      <c r="N27" s="15"/>
      <c r="O27" s="15"/>
      <c r="P27" s="15"/>
      <c r="Q27" s="15"/>
      <c r="R27" s="15"/>
      <c r="S27" s="15"/>
      <c r="T27" s="15"/>
      <c r="U27" s="15"/>
    </row>
    <row r="28" spans="2:21" ht="14.4" customHeight="1" thickBot="1" x14ac:dyDescent="0.35">
      <c r="B28" s="58"/>
      <c r="C28" s="52">
        <v>3</v>
      </c>
      <c r="D28" s="414" t="s">
        <v>305</v>
      </c>
      <c r="E28" s="415"/>
      <c r="F28" s="415"/>
      <c r="G28" s="415"/>
      <c r="H28" s="416"/>
      <c r="I28" s="118" t="s">
        <v>4</v>
      </c>
      <c r="J28" s="75"/>
      <c r="K28" s="128"/>
      <c r="L28" s="15"/>
      <c r="M28" s="15"/>
      <c r="N28" s="15"/>
      <c r="O28" s="15"/>
      <c r="P28" s="15"/>
      <c r="Q28" s="15"/>
      <c r="R28" s="15"/>
      <c r="S28" s="15"/>
      <c r="T28" s="15"/>
      <c r="U28" s="15"/>
    </row>
    <row r="29" spans="2:21" ht="19.2" customHeight="1" thickTop="1" thickBot="1" x14ac:dyDescent="0.35">
      <c r="B29" s="58"/>
      <c r="C29" s="417" t="s">
        <v>675</v>
      </c>
      <c r="D29" s="417"/>
      <c r="E29" s="417"/>
      <c r="F29" s="417"/>
      <c r="G29" s="417"/>
      <c r="H29" s="422" t="str">
        <f>IF(OR(I26="YES",I27="YES",I28="YES"),"WARRANTED", "NOT WARRANTED")</f>
        <v>WARRANTED</v>
      </c>
      <c r="I29" s="423"/>
      <c r="J29" s="69"/>
      <c r="K29" s="111"/>
      <c r="M29" s="111"/>
      <c r="N29" s="111"/>
      <c r="O29" s="111"/>
      <c r="P29" s="15"/>
      <c r="Q29" s="15"/>
      <c r="R29" s="15"/>
      <c r="S29" s="15"/>
      <c r="T29" s="15"/>
      <c r="U29" s="15"/>
    </row>
    <row r="30" spans="2:21" ht="5.4" customHeight="1" thickTop="1" x14ac:dyDescent="0.3">
      <c r="B30" s="60"/>
      <c r="C30" s="70"/>
      <c r="D30" s="70"/>
      <c r="E30" s="70"/>
      <c r="F30" s="70"/>
      <c r="G30" s="70"/>
      <c r="H30" s="70"/>
      <c r="I30" s="76"/>
      <c r="J30" s="77"/>
      <c r="K30" s="111"/>
      <c r="L30" s="111"/>
      <c r="M30" s="111"/>
      <c r="N30" s="111"/>
      <c r="O30" s="111"/>
      <c r="P30" s="15"/>
      <c r="Q30" s="15"/>
      <c r="R30" s="15"/>
      <c r="S30" s="15"/>
      <c r="T30" s="15"/>
      <c r="U30" s="15"/>
    </row>
    <row r="31" spans="2:21" x14ac:dyDescent="0.3">
      <c r="B31" s="7"/>
      <c r="C31" s="15"/>
      <c r="D31" s="15"/>
      <c r="E31" s="15"/>
      <c r="F31" s="15"/>
      <c r="G31" s="15"/>
      <c r="H31" s="15"/>
      <c r="I31" s="111"/>
      <c r="J31" s="111"/>
      <c r="K31" s="111"/>
      <c r="L31" s="111"/>
      <c r="M31" s="111"/>
      <c r="N31" s="111"/>
      <c r="O31" s="111"/>
      <c r="P31" s="15"/>
      <c r="Q31" s="15"/>
      <c r="R31" s="15"/>
      <c r="S31" s="15"/>
      <c r="T31" s="15"/>
      <c r="U31" s="15"/>
    </row>
    <row r="32" spans="2:21" ht="7.95" customHeight="1" x14ac:dyDescent="0.3">
      <c r="B32" s="81"/>
      <c r="C32" s="83"/>
      <c r="D32" s="83"/>
      <c r="E32" s="83"/>
      <c r="F32" s="83"/>
      <c r="G32" s="83"/>
      <c r="H32" s="83"/>
      <c r="I32" s="83"/>
      <c r="J32" s="84"/>
      <c r="K32" s="15"/>
      <c r="L32" s="15"/>
      <c r="M32" s="15"/>
      <c r="N32" s="15"/>
      <c r="O32" s="15"/>
      <c r="P32" s="15"/>
      <c r="Q32" s="15"/>
      <c r="R32" s="15"/>
      <c r="S32" s="15"/>
      <c r="T32" s="15"/>
      <c r="U32" s="15"/>
    </row>
    <row r="33" spans="2:21" x14ac:dyDescent="0.3">
      <c r="B33" s="58"/>
      <c r="C33" s="79" t="s">
        <v>670</v>
      </c>
      <c r="D33" s="79"/>
      <c r="E33" s="79"/>
      <c r="F33" s="79"/>
      <c r="G33" s="79"/>
      <c r="H33" s="79"/>
      <c r="I33" s="79"/>
      <c r="J33" s="68"/>
      <c r="K33" s="15"/>
      <c r="L33" s="15" t="s">
        <v>357</v>
      </c>
      <c r="M33" s="15"/>
      <c r="N33" s="15"/>
      <c r="O33" s="15"/>
      <c r="P33" s="15"/>
      <c r="Q33" s="15"/>
      <c r="R33" s="15"/>
      <c r="S33" s="15"/>
      <c r="T33" s="15"/>
      <c r="U33" s="15"/>
    </row>
    <row r="34" spans="2:21" ht="4.95" customHeight="1" x14ac:dyDescent="0.3">
      <c r="B34" s="58"/>
      <c r="C34" s="79"/>
      <c r="D34" s="79"/>
      <c r="E34" s="79"/>
      <c r="F34" s="79"/>
      <c r="G34" s="79"/>
      <c r="H34" s="79"/>
      <c r="I34" s="79"/>
      <c r="J34" s="68"/>
      <c r="K34" s="15"/>
      <c r="L34" s="15"/>
      <c r="M34" s="15"/>
      <c r="N34" s="15"/>
      <c r="O34" s="15"/>
      <c r="P34" s="15"/>
      <c r="Q34" s="15"/>
      <c r="R34" s="15"/>
      <c r="S34" s="15"/>
      <c r="T34" s="15"/>
      <c r="U34" s="15"/>
    </row>
    <row r="35" spans="2:21" ht="14.4" customHeight="1" x14ac:dyDescent="0.3">
      <c r="B35" s="58"/>
      <c r="C35" s="435" t="s">
        <v>263</v>
      </c>
      <c r="D35" s="435"/>
      <c r="E35" s="435"/>
      <c r="F35" s="435"/>
      <c r="G35" s="435"/>
      <c r="H35" s="435"/>
      <c r="I35" s="52" t="s">
        <v>262</v>
      </c>
      <c r="J35" s="68"/>
      <c r="K35" s="15"/>
      <c r="L35" s="15"/>
      <c r="M35" s="15"/>
      <c r="N35" s="15"/>
      <c r="O35" s="15"/>
      <c r="P35" s="15"/>
      <c r="Q35" s="15"/>
      <c r="R35" s="15"/>
      <c r="S35" s="15"/>
      <c r="T35" s="15"/>
      <c r="U35" s="15"/>
    </row>
    <row r="36" spans="2:21" ht="31.95" customHeight="1" x14ac:dyDescent="0.3">
      <c r="B36" s="58"/>
      <c r="C36" s="52">
        <v>1</v>
      </c>
      <c r="D36" s="411" t="s">
        <v>306</v>
      </c>
      <c r="E36" s="412"/>
      <c r="F36" s="412"/>
      <c r="G36" s="412"/>
      <c r="H36" s="413"/>
      <c r="I36" s="118" t="s">
        <v>4</v>
      </c>
      <c r="J36" s="68"/>
      <c r="K36" s="128"/>
      <c r="L36" s="15"/>
      <c r="M36" s="15"/>
      <c r="N36" s="15"/>
      <c r="O36" s="15"/>
      <c r="P36" s="15"/>
      <c r="Q36" s="15"/>
      <c r="R36" s="15"/>
      <c r="S36" s="15"/>
      <c r="T36" s="15"/>
      <c r="U36" s="15"/>
    </row>
    <row r="37" spans="2:21" ht="30" customHeight="1" x14ac:dyDescent="0.3">
      <c r="B37" s="58"/>
      <c r="C37" s="52">
        <v>2</v>
      </c>
      <c r="D37" s="411" t="s">
        <v>307</v>
      </c>
      <c r="E37" s="412"/>
      <c r="F37" s="412"/>
      <c r="G37" s="412"/>
      <c r="H37" s="413"/>
      <c r="I37" s="118" t="s">
        <v>4</v>
      </c>
      <c r="J37" s="68"/>
      <c r="K37" s="128"/>
      <c r="L37" s="15"/>
      <c r="M37" s="15"/>
      <c r="N37" s="15"/>
      <c r="O37" s="15"/>
      <c r="P37" s="15"/>
      <c r="Q37" s="15"/>
      <c r="R37" s="15"/>
      <c r="S37" s="15"/>
      <c r="T37" s="15"/>
      <c r="U37" s="15"/>
    </row>
    <row r="38" spans="2:21" ht="31.2" customHeight="1" x14ac:dyDescent="0.3">
      <c r="B38" s="58"/>
      <c r="C38" s="52">
        <v>3</v>
      </c>
      <c r="D38" s="411" t="s">
        <v>472</v>
      </c>
      <c r="E38" s="412"/>
      <c r="F38" s="412"/>
      <c r="G38" s="412"/>
      <c r="H38" s="413"/>
      <c r="I38" s="118" t="s">
        <v>4</v>
      </c>
      <c r="J38" s="68"/>
      <c r="K38" s="128"/>
      <c r="L38" s="15"/>
      <c r="M38" s="213"/>
      <c r="N38" s="15"/>
      <c r="O38" s="15"/>
      <c r="P38" s="15"/>
      <c r="Q38" s="15"/>
      <c r="R38" s="15"/>
      <c r="S38" s="15"/>
      <c r="T38" s="15"/>
      <c r="U38" s="15"/>
    </row>
    <row r="39" spans="2:21" ht="30" customHeight="1" x14ac:dyDescent="0.3">
      <c r="B39" s="58"/>
      <c r="C39" s="52">
        <v>4</v>
      </c>
      <c r="D39" s="411" t="s">
        <v>308</v>
      </c>
      <c r="E39" s="412"/>
      <c r="F39" s="412"/>
      <c r="G39" s="412"/>
      <c r="H39" s="413"/>
      <c r="I39" s="118" t="s">
        <v>4</v>
      </c>
      <c r="J39" s="68"/>
      <c r="K39" s="128"/>
      <c r="L39" s="15"/>
      <c r="M39" s="15"/>
      <c r="N39" s="15"/>
      <c r="O39" s="15"/>
      <c r="P39" s="15"/>
      <c r="Q39" s="15"/>
      <c r="R39" s="15"/>
      <c r="S39" s="15"/>
      <c r="T39" s="15"/>
      <c r="U39" s="15"/>
    </row>
    <row r="40" spans="2:21" ht="29.4" customHeight="1" x14ac:dyDescent="0.3">
      <c r="B40" s="58"/>
      <c r="C40" s="52">
        <v>5</v>
      </c>
      <c r="D40" s="411" t="s">
        <v>311</v>
      </c>
      <c r="E40" s="412"/>
      <c r="F40" s="412"/>
      <c r="G40" s="412"/>
      <c r="H40" s="413"/>
      <c r="I40" s="118" t="s">
        <v>4</v>
      </c>
      <c r="J40" s="68"/>
      <c r="K40" s="15"/>
      <c r="L40" s="15"/>
      <c r="M40" s="15"/>
      <c r="N40" s="15"/>
      <c r="O40" s="15"/>
      <c r="P40" s="15"/>
      <c r="Q40" s="15"/>
      <c r="R40" s="15"/>
      <c r="S40" s="15"/>
      <c r="T40" s="15"/>
      <c r="U40" s="15"/>
    </row>
    <row r="41" spans="2:21" x14ac:dyDescent="0.3">
      <c r="B41" s="58"/>
      <c r="C41" s="52">
        <v>6</v>
      </c>
      <c r="D41" s="411" t="s">
        <v>310</v>
      </c>
      <c r="E41" s="412"/>
      <c r="F41" s="412"/>
      <c r="G41" s="412"/>
      <c r="H41" s="413"/>
      <c r="I41" s="118" t="s">
        <v>4</v>
      </c>
      <c r="J41" s="68"/>
      <c r="K41" s="15"/>
      <c r="L41" s="15"/>
      <c r="M41" s="15"/>
      <c r="N41" s="15"/>
      <c r="O41" s="15"/>
      <c r="P41" s="15"/>
      <c r="Q41" s="15"/>
      <c r="R41" s="15"/>
      <c r="S41" s="15"/>
      <c r="T41" s="15"/>
      <c r="U41" s="15"/>
    </row>
    <row r="42" spans="2:21" ht="29.4" customHeight="1" thickBot="1" x14ac:dyDescent="0.35">
      <c r="B42" s="58"/>
      <c r="C42" s="67">
        <v>7</v>
      </c>
      <c r="D42" s="425" t="s">
        <v>309</v>
      </c>
      <c r="E42" s="426"/>
      <c r="F42" s="426"/>
      <c r="G42" s="426"/>
      <c r="H42" s="427"/>
      <c r="I42" s="118" t="s">
        <v>4</v>
      </c>
      <c r="J42" s="68"/>
      <c r="K42" s="15"/>
      <c r="L42" s="15"/>
      <c r="M42" s="15"/>
      <c r="N42" s="15"/>
      <c r="O42" s="15"/>
      <c r="P42" s="15"/>
      <c r="Q42" s="15"/>
      <c r="R42" s="15"/>
      <c r="S42" s="15"/>
      <c r="T42" s="15"/>
      <c r="U42" s="15"/>
    </row>
    <row r="43" spans="2:21" ht="28.2" customHeight="1" thickTop="1" thickBot="1" x14ac:dyDescent="0.35">
      <c r="B43" s="58"/>
      <c r="C43" s="417" t="s">
        <v>676</v>
      </c>
      <c r="D43" s="417"/>
      <c r="E43" s="417"/>
      <c r="F43" s="417"/>
      <c r="G43" s="417"/>
      <c r="H43" s="422" t="str">
        <f>IF(OR(I36="YES",I37="YES",I38="YES",I39="YES"),"WARRANTED",IF(AND(I40="YES",I41="YES",I42="YES"), "WARRANTED", IF(OR(I40="YES",I41="YES",I42="YES"), "PARTIALLY WARRANTED","NOT WARRANTED")))</f>
        <v>WARRANTED</v>
      </c>
      <c r="I43" s="423"/>
      <c r="J43" s="68"/>
      <c r="K43" s="15"/>
      <c r="M43" s="15"/>
      <c r="N43" s="15"/>
      <c r="O43" s="15"/>
      <c r="P43" s="15"/>
      <c r="Q43" s="15"/>
      <c r="R43" s="15"/>
      <c r="S43" s="15"/>
      <c r="T43" s="15"/>
      <c r="U43" s="15"/>
    </row>
    <row r="44" spans="2:21" ht="6" customHeight="1" thickTop="1" x14ac:dyDescent="0.3">
      <c r="B44" s="60"/>
      <c r="C44" s="74"/>
      <c r="D44" s="86"/>
      <c r="E44" s="86"/>
      <c r="F44" s="86"/>
      <c r="G44" s="86"/>
      <c r="H44" s="86"/>
      <c r="I44" s="86"/>
      <c r="J44" s="71"/>
      <c r="K44" s="15"/>
      <c r="L44" s="15"/>
      <c r="M44" s="15"/>
      <c r="N44" s="15"/>
      <c r="O44" s="15"/>
      <c r="P44" s="15"/>
      <c r="Q44" s="15"/>
      <c r="R44" s="15"/>
      <c r="S44" s="15"/>
      <c r="T44" s="15"/>
      <c r="U44" s="15"/>
    </row>
    <row r="45" spans="2:21" ht="16.95" customHeight="1" x14ac:dyDescent="0.3">
      <c r="B45" s="7"/>
      <c r="C45" s="46"/>
      <c r="D45" s="106"/>
      <c r="E45" s="106"/>
      <c r="F45" s="106"/>
      <c r="G45" s="106"/>
      <c r="H45" s="106"/>
      <c r="I45" s="106"/>
      <c r="J45" s="15"/>
      <c r="K45" s="15"/>
      <c r="L45" s="15"/>
      <c r="M45" s="15"/>
      <c r="N45" s="15"/>
      <c r="O45" s="15"/>
      <c r="P45" s="15"/>
      <c r="Q45" s="15"/>
      <c r="R45" s="15"/>
      <c r="S45" s="15"/>
      <c r="T45" s="15"/>
      <c r="U45" s="15"/>
    </row>
    <row r="46" spans="2:21" ht="6.6" customHeight="1" x14ac:dyDescent="0.3">
      <c r="B46" s="81"/>
      <c r="C46" s="83"/>
      <c r="D46" s="83"/>
      <c r="E46" s="83"/>
      <c r="F46" s="83"/>
      <c r="G46" s="83"/>
      <c r="H46" s="83"/>
      <c r="I46" s="83"/>
      <c r="J46" s="84"/>
      <c r="K46" s="15"/>
      <c r="L46" s="15"/>
      <c r="M46" s="15"/>
      <c r="N46" s="15"/>
      <c r="O46" s="15"/>
      <c r="P46" s="15"/>
      <c r="Q46" s="15"/>
      <c r="R46" s="15"/>
      <c r="S46" s="15"/>
      <c r="T46" s="15"/>
      <c r="U46" s="15"/>
    </row>
    <row r="47" spans="2:21" x14ac:dyDescent="0.3">
      <c r="B47" s="58"/>
      <c r="C47" s="78" t="s">
        <v>671</v>
      </c>
      <c r="D47" s="78"/>
      <c r="E47" s="78"/>
      <c r="F47" s="434"/>
      <c r="G47" s="434"/>
      <c r="H47" s="434"/>
      <c r="I47" s="15"/>
      <c r="J47" s="68"/>
      <c r="K47" s="15"/>
      <c r="L47" s="15" t="s">
        <v>357</v>
      </c>
      <c r="M47" s="15"/>
      <c r="N47" s="15"/>
      <c r="O47" s="15"/>
      <c r="P47" s="15"/>
      <c r="Q47" s="15"/>
      <c r="R47" s="15"/>
      <c r="S47" s="15"/>
      <c r="T47" s="15"/>
      <c r="U47" s="15"/>
    </row>
    <row r="48" spans="2:21" x14ac:dyDescent="0.3">
      <c r="B48" s="58"/>
      <c r="C48" s="435" t="s">
        <v>263</v>
      </c>
      <c r="D48" s="435"/>
      <c r="E48" s="435"/>
      <c r="F48" s="435"/>
      <c r="G48" s="435"/>
      <c r="H48" s="435"/>
      <c r="I48" s="52" t="s">
        <v>262</v>
      </c>
      <c r="J48" s="68"/>
      <c r="K48" s="15"/>
      <c r="L48" s="15"/>
      <c r="M48" s="15"/>
      <c r="N48" s="15"/>
      <c r="O48" s="15"/>
      <c r="P48" s="15"/>
      <c r="Q48" s="15"/>
      <c r="R48" s="15"/>
      <c r="S48" s="15"/>
      <c r="T48" s="15"/>
      <c r="U48" s="15"/>
    </row>
    <row r="49" spans="2:21" x14ac:dyDescent="0.3">
      <c r="B49" s="58"/>
      <c r="C49" s="52">
        <v>1</v>
      </c>
      <c r="D49" s="414" t="s">
        <v>312</v>
      </c>
      <c r="E49" s="415"/>
      <c r="F49" s="415"/>
      <c r="G49" s="415"/>
      <c r="H49" s="416"/>
      <c r="I49" s="118" t="s">
        <v>4</v>
      </c>
      <c r="J49" s="68"/>
      <c r="K49" s="128"/>
      <c r="L49" s="15"/>
      <c r="M49" s="15"/>
      <c r="N49" s="15"/>
      <c r="O49" s="15"/>
      <c r="P49" s="15"/>
      <c r="Q49" s="15"/>
      <c r="R49" s="15"/>
      <c r="S49" s="15"/>
      <c r="T49" s="15"/>
      <c r="U49" s="15"/>
    </row>
    <row r="50" spans="2:21" ht="43.95" customHeight="1" x14ac:dyDescent="0.3">
      <c r="B50" s="58"/>
      <c r="C50" s="52">
        <v>2</v>
      </c>
      <c r="D50" s="411" t="s">
        <v>313</v>
      </c>
      <c r="E50" s="412"/>
      <c r="F50" s="412"/>
      <c r="G50" s="412"/>
      <c r="H50" s="413"/>
      <c r="I50" s="118" t="s">
        <v>4</v>
      </c>
      <c r="J50" s="68"/>
      <c r="K50" s="128"/>
      <c r="L50" s="15"/>
      <c r="M50" s="15"/>
      <c r="N50" s="15"/>
      <c r="O50" s="15"/>
      <c r="P50" s="15"/>
      <c r="Q50" s="15"/>
      <c r="R50" s="15"/>
      <c r="S50" s="15"/>
      <c r="T50" s="15"/>
      <c r="U50" s="15"/>
    </row>
    <row r="51" spans="2:21" x14ac:dyDescent="0.3">
      <c r="B51" s="58"/>
      <c r="C51" s="52">
        <v>3</v>
      </c>
      <c r="D51" s="414" t="s">
        <v>315</v>
      </c>
      <c r="E51" s="415"/>
      <c r="F51" s="415"/>
      <c r="G51" s="415"/>
      <c r="H51" s="416"/>
      <c r="I51" s="118" t="s">
        <v>4</v>
      </c>
      <c r="J51" s="68"/>
      <c r="K51" s="15"/>
      <c r="L51" s="15"/>
      <c r="M51" s="15"/>
      <c r="N51" s="15"/>
      <c r="O51" s="15"/>
      <c r="P51" s="15"/>
      <c r="Q51" s="15"/>
      <c r="R51" s="15"/>
      <c r="S51" s="15"/>
      <c r="T51" s="15"/>
      <c r="U51" s="15"/>
    </row>
    <row r="52" spans="2:21" x14ac:dyDescent="0.3">
      <c r="B52" s="58"/>
      <c r="C52" s="52">
        <v>4</v>
      </c>
      <c r="D52" s="414" t="s">
        <v>316</v>
      </c>
      <c r="E52" s="415"/>
      <c r="F52" s="415"/>
      <c r="G52" s="415"/>
      <c r="H52" s="416"/>
      <c r="I52" s="118" t="s">
        <v>4</v>
      </c>
      <c r="J52" s="68"/>
      <c r="K52" s="15"/>
      <c r="L52" s="15"/>
      <c r="M52" s="15"/>
      <c r="N52" s="15"/>
      <c r="O52" s="15"/>
      <c r="P52" s="15"/>
      <c r="Q52" s="15"/>
      <c r="R52" s="15"/>
      <c r="S52" s="15"/>
      <c r="T52" s="15"/>
      <c r="U52" s="15"/>
    </row>
    <row r="53" spans="2:21" ht="14.4" customHeight="1" thickBot="1" x14ac:dyDescent="0.35">
      <c r="B53" s="58"/>
      <c r="C53" s="52">
        <v>5</v>
      </c>
      <c r="D53" s="435" t="s">
        <v>314</v>
      </c>
      <c r="E53" s="435"/>
      <c r="F53" s="435"/>
      <c r="G53" s="435"/>
      <c r="H53" s="442"/>
      <c r="I53" s="80" t="s">
        <v>4</v>
      </c>
      <c r="J53" s="68"/>
      <c r="K53" s="15"/>
      <c r="L53" s="15"/>
      <c r="M53" s="15"/>
      <c r="N53" s="15"/>
      <c r="O53" s="15"/>
      <c r="P53" s="15"/>
      <c r="Q53" s="15"/>
      <c r="R53" s="15"/>
      <c r="S53" s="15"/>
      <c r="T53" s="15"/>
      <c r="U53" s="15"/>
    </row>
    <row r="54" spans="2:21" ht="14.4" customHeight="1" thickTop="1" thickBot="1" x14ac:dyDescent="0.35">
      <c r="B54" s="58"/>
      <c r="C54" s="439" t="s">
        <v>677</v>
      </c>
      <c r="D54" s="439"/>
      <c r="E54" s="439"/>
      <c r="F54" s="439"/>
      <c r="G54" s="439"/>
      <c r="H54" s="422" t="str">
        <f>IF(OR(I49="YES",I50="YES"),"WARRANTED",IF(OR(I51="YES",I52="YES",I53="YES"),"PARTIALLY WARRANTED","NOT WARRANTED"))</f>
        <v>WARRANTED</v>
      </c>
      <c r="I54" s="423"/>
      <c r="J54" s="68"/>
      <c r="K54" s="15"/>
      <c r="L54" s="15"/>
      <c r="M54" s="15"/>
      <c r="N54" s="15"/>
      <c r="O54" s="15"/>
      <c r="P54" s="15"/>
      <c r="Q54" s="15"/>
      <c r="R54" s="15"/>
      <c r="S54" s="15"/>
      <c r="T54" s="15"/>
      <c r="U54" s="15"/>
    </row>
    <row r="55" spans="2:21" ht="6" customHeight="1" thickTop="1" x14ac:dyDescent="0.3">
      <c r="B55" s="60"/>
      <c r="C55" s="88"/>
      <c r="D55" s="89"/>
      <c r="E55" s="89"/>
      <c r="F55" s="89"/>
      <c r="G55" s="89"/>
      <c r="H55" s="89"/>
      <c r="I55" s="89"/>
      <c r="J55" s="71"/>
      <c r="K55" s="15"/>
      <c r="L55" s="15"/>
      <c r="M55" s="15"/>
      <c r="N55" s="15"/>
      <c r="O55" s="15"/>
      <c r="P55" s="15"/>
      <c r="Q55" s="15"/>
      <c r="R55" s="15"/>
      <c r="S55" s="15"/>
      <c r="T55" s="15"/>
      <c r="U55" s="15"/>
    </row>
    <row r="56" spans="2:21" ht="14.4" customHeight="1" x14ac:dyDescent="0.3">
      <c r="B56" s="7"/>
      <c r="C56" s="113"/>
      <c r="D56" s="107"/>
      <c r="E56" s="107"/>
      <c r="F56" s="107"/>
      <c r="G56" s="107"/>
      <c r="H56" s="107"/>
      <c r="I56" s="107"/>
      <c r="J56" s="15"/>
      <c r="K56" s="15"/>
      <c r="L56" s="15"/>
      <c r="M56" s="15"/>
      <c r="N56" s="15"/>
      <c r="O56" s="15"/>
      <c r="P56" s="15"/>
      <c r="Q56" s="15"/>
      <c r="R56" s="15"/>
      <c r="S56" s="15"/>
      <c r="T56" s="15"/>
      <c r="U56" s="15"/>
    </row>
    <row r="57" spans="2:21" ht="6.6" customHeight="1" x14ac:dyDescent="0.3">
      <c r="B57" s="81"/>
      <c r="C57" s="83"/>
      <c r="D57" s="83"/>
      <c r="E57" s="83"/>
      <c r="F57" s="83"/>
      <c r="G57" s="83"/>
      <c r="H57" s="83"/>
      <c r="I57" s="83"/>
      <c r="J57" s="84"/>
      <c r="K57" s="15"/>
      <c r="L57" s="15"/>
      <c r="M57" s="15"/>
      <c r="N57" s="15"/>
      <c r="O57" s="15"/>
      <c r="P57" s="15"/>
      <c r="Q57" s="15"/>
      <c r="R57" s="15"/>
      <c r="S57" s="15"/>
      <c r="T57" s="15"/>
      <c r="U57" s="15"/>
    </row>
    <row r="58" spans="2:21" x14ac:dyDescent="0.3">
      <c r="B58" s="58"/>
      <c r="C58" s="78" t="s">
        <v>672</v>
      </c>
      <c r="D58" s="78"/>
      <c r="E58" s="78"/>
      <c r="F58" s="434"/>
      <c r="G58" s="434"/>
      <c r="H58" s="434"/>
      <c r="I58" s="15"/>
      <c r="J58" s="68"/>
      <c r="K58" s="15"/>
      <c r="L58" s="15" t="s">
        <v>357</v>
      </c>
      <c r="M58" s="15"/>
      <c r="N58" s="15"/>
      <c r="O58" s="15"/>
      <c r="P58" s="15"/>
      <c r="Q58" s="15"/>
      <c r="R58" s="15"/>
      <c r="S58" s="15"/>
      <c r="T58" s="15"/>
      <c r="U58" s="15"/>
    </row>
    <row r="59" spans="2:21" x14ac:dyDescent="0.3">
      <c r="B59" s="58"/>
      <c r="C59" s="435" t="s">
        <v>263</v>
      </c>
      <c r="D59" s="435"/>
      <c r="E59" s="435"/>
      <c r="F59" s="435"/>
      <c r="G59" s="435"/>
      <c r="H59" s="435"/>
      <c r="I59" s="52" t="s">
        <v>262</v>
      </c>
      <c r="J59" s="68"/>
      <c r="K59" s="15"/>
      <c r="L59" s="15"/>
      <c r="M59" s="15"/>
      <c r="N59" s="15"/>
      <c r="O59" s="15"/>
      <c r="P59" s="15"/>
      <c r="Q59" s="15"/>
      <c r="R59" s="15"/>
      <c r="S59" s="15"/>
      <c r="T59" s="15"/>
      <c r="U59" s="15"/>
    </row>
    <row r="60" spans="2:21" ht="28.95" customHeight="1" x14ac:dyDescent="0.3">
      <c r="B60" s="58"/>
      <c r="C60" s="52">
        <v>1</v>
      </c>
      <c r="D60" s="411" t="s">
        <v>317</v>
      </c>
      <c r="E60" s="412"/>
      <c r="F60" s="412"/>
      <c r="G60" s="412"/>
      <c r="H60" s="413"/>
      <c r="I60" s="118" t="s">
        <v>4</v>
      </c>
      <c r="J60" s="68"/>
      <c r="K60" s="128"/>
      <c r="L60" s="15"/>
      <c r="M60" s="15"/>
      <c r="N60" s="15"/>
      <c r="O60" s="15"/>
      <c r="P60" s="15"/>
      <c r="Q60" s="15"/>
      <c r="R60" s="15"/>
      <c r="S60" s="15"/>
      <c r="T60" s="15"/>
      <c r="U60" s="15"/>
    </row>
    <row r="61" spans="2:21" ht="28.95" customHeight="1" x14ac:dyDescent="0.3">
      <c r="B61" s="58"/>
      <c r="C61" s="52">
        <v>2</v>
      </c>
      <c r="D61" s="411" t="s">
        <v>318</v>
      </c>
      <c r="E61" s="412"/>
      <c r="F61" s="412"/>
      <c r="G61" s="412"/>
      <c r="H61" s="413"/>
      <c r="I61" s="118" t="s">
        <v>4</v>
      </c>
      <c r="J61" s="68"/>
      <c r="K61" s="128"/>
      <c r="L61" s="15"/>
      <c r="M61" s="15"/>
      <c r="N61" s="15"/>
      <c r="O61" s="15"/>
      <c r="P61" s="15"/>
      <c r="Q61" s="15"/>
      <c r="R61" s="15"/>
      <c r="S61" s="15"/>
      <c r="T61" s="15"/>
      <c r="U61" s="15"/>
    </row>
    <row r="62" spans="2:21" ht="29.4" customHeight="1" x14ac:dyDescent="0.3">
      <c r="B62" s="58"/>
      <c r="C62" s="52">
        <v>3</v>
      </c>
      <c r="D62" s="411" t="s">
        <v>319</v>
      </c>
      <c r="E62" s="412"/>
      <c r="F62" s="412"/>
      <c r="G62" s="412"/>
      <c r="H62" s="413"/>
      <c r="I62" s="80" t="s">
        <v>4</v>
      </c>
      <c r="J62" s="68"/>
      <c r="K62" s="15"/>
      <c r="L62" s="15"/>
      <c r="M62" s="15"/>
      <c r="N62" s="15"/>
      <c r="O62" s="15"/>
      <c r="P62" s="15"/>
      <c r="Q62" s="15"/>
      <c r="R62" s="15"/>
      <c r="S62" s="15"/>
      <c r="T62" s="15"/>
      <c r="U62" s="15"/>
    </row>
    <row r="63" spans="2:21" ht="28.2" customHeight="1" thickBot="1" x14ac:dyDescent="0.35">
      <c r="B63" s="58"/>
      <c r="C63" s="52">
        <v>4</v>
      </c>
      <c r="D63" s="440" t="s">
        <v>320</v>
      </c>
      <c r="E63" s="440"/>
      <c r="F63" s="440"/>
      <c r="G63" s="440"/>
      <c r="H63" s="441"/>
      <c r="I63" s="80" t="s">
        <v>4</v>
      </c>
      <c r="J63" s="68"/>
      <c r="K63" s="15"/>
      <c r="L63" s="15"/>
      <c r="M63" s="15"/>
      <c r="N63" s="15"/>
      <c r="O63" s="15"/>
      <c r="P63" s="15"/>
      <c r="Q63" s="15"/>
      <c r="R63" s="15"/>
      <c r="S63" s="15"/>
      <c r="T63" s="15"/>
      <c r="U63" s="15"/>
    </row>
    <row r="64" spans="2:21" ht="14.4" customHeight="1" thickTop="1" thickBot="1" x14ac:dyDescent="0.35">
      <c r="B64" s="58"/>
      <c r="C64" s="439" t="s">
        <v>678</v>
      </c>
      <c r="D64" s="439"/>
      <c r="E64" s="439"/>
      <c r="F64" s="439"/>
      <c r="G64" s="439"/>
      <c r="H64" s="422" t="str">
        <f>IF(OR(I60="YES",I61="YES"),"WARRANTED", IF(OR(I63="YES",I62="YES"), "PARTIALLY WARRANTED","NOT WARRANTED"))</f>
        <v>WARRANTED</v>
      </c>
      <c r="I64" s="423"/>
      <c r="J64" s="68"/>
      <c r="K64" s="15"/>
      <c r="L64" s="15"/>
      <c r="M64" s="15"/>
      <c r="N64" s="15"/>
      <c r="O64" s="15"/>
      <c r="P64" s="15"/>
      <c r="Q64" s="15"/>
      <c r="R64" s="15"/>
      <c r="S64" s="15"/>
      <c r="T64" s="15"/>
      <c r="U64" s="15"/>
    </row>
    <row r="65" spans="2:23" ht="6.6" customHeight="1" thickTop="1" x14ac:dyDescent="0.3">
      <c r="B65" s="60"/>
      <c r="C65" s="88"/>
      <c r="D65" s="90"/>
      <c r="E65" s="90"/>
      <c r="F65" s="90"/>
      <c r="G65" s="90"/>
      <c r="H65" s="90"/>
      <c r="I65" s="90"/>
      <c r="J65" s="71"/>
      <c r="K65" s="15"/>
      <c r="L65" s="15"/>
      <c r="M65" s="15"/>
      <c r="N65" s="15"/>
      <c r="O65" s="15"/>
      <c r="P65" s="15"/>
      <c r="Q65" s="15"/>
      <c r="R65" s="15"/>
      <c r="S65" s="15"/>
      <c r="T65" s="15"/>
      <c r="U65" s="15"/>
    </row>
    <row r="66" spans="2:23" ht="14.4" customHeight="1" x14ac:dyDescent="0.3">
      <c r="B66" s="7"/>
      <c r="C66" s="113"/>
      <c r="D66" s="87"/>
      <c r="E66" s="87"/>
      <c r="F66" s="87"/>
      <c r="G66" s="87"/>
      <c r="H66" s="87"/>
      <c r="I66" s="87"/>
      <c r="J66" s="15"/>
      <c r="K66" s="15"/>
      <c r="L66" s="15"/>
      <c r="M66" s="15"/>
      <c r="N66" s="15"/>
      <c r="O66" s="15"/>
      <c r="P66" s="15"/>
      <c r="Q66" s="15"/>
      <c r="R66" s="15"/>
      <c r="S66" s="15"/>
      <c r="T66" s="15"/>
      <c r="U66" s="15"/>
    </row>
    <row r="67" spans="2:23" ht="6" customHeight="1" x14ac:dyDescent="0.3">
      <c r="B67" s="81"/>
      <c r="C67" s="72"/>
      <c r="D67" s="91"/>
      <c r="E67" s="91"/>
      <c r="F67" s="91"/>
      <c r="G67" s="91"/>
      <c r="H67" s="91"/>
      <c r="I67" s="91"/>
      <c r="J67" s="84"/>
      <c r="K67" s="15"/>
      <c r="L67" s="15"/>
      <c r="M67" s="15"/>
      <c r="N67" s="15"/>
      <c r="O67" s="15"/>
      <c r="P67" s="15"/>
      <c r="Q67" s="15"/>
      <c r="R67" s="15"/>
      <c r="S67" s="15"/>
      <c r="T67" s="15"/>
      <c r="U67" s="15"/>
    </row>
    <row r="68" spans="2:23" x14ac:dyDescent="0.3">
      <c r="B68" s="58"/>
      <c r="C68" s="78" t="s">
        <v>673</v>
      </c>
      <c r="D68" s="78"/>
      <c r="E68" s="78"/>
      <c r="F68" s="434"/>
      <c r="G68" s="434"/>
      <c r="H68" s="434"/>
      <c r="I68" s="15"/>
      <c r="J68" s="68"/>
      <c r="K68" s="15"/>
      <c r="L68" s="15" t="s">
        <v>361</v>
      </c>
      <c r="M68" s="15"/>
      <c r="N68" s="15"/>
      <c r="O68" s="15"/>
      <c r="P68" s="15"/>
      <c r="Q68" s="15"/>
      <c r="R68" s="15"/>
      <c r="S68" s="15"/>
      <c r="T68" s="15"/>
      <c r="U68" s="15"/>
    </row>
    <row r="69" spans="2:23" x14ac:dyDescent="0.3">
      <c r="B69" s="58"/>
      <c r="C69" s="435" t="s">
        <v>263</v>
      </c>
      <c r="D69" s="435"/>
      <c r="E69" s="435"/>
      <c r="F69" s="435"/>
      <c r="G69" s="435"/>
      <c r="H69" s="435"/>
      <c r="I69" s="52" t="s">
        <v>262</v>
      </c>
      <c r="J69" s="68"/>
      <c r="K69" s="15"/>
      <c r="L69" s="15"/>
      <c r="M69" s="15"/>
      <c r="N69" s="15"/>
      <c r="O69" s="15"/>
      <c r="P69" s="15"/>
      <c r="Q69" s="15"/>
      <c r="R69" s="15"/>
      <c r="S69" s="15"/>
      <c r="T69" s="15"/>
      <c r="U69" s="15"/>
    </row>
    <row r="70" spans="2:23" x14ac:dyDescent="0.3">
      <c r="B70" s="58"/>
      <c r="C70" s="52">
        <v>1</v>
      </c>
      <c r="D70" s="414" t="s">
        <v>321</v>
      </c>
      <c r="E70" s="415"/>
      <c r="F70" s="415"/>
      <c r="G70" s="415"/>
      <c r="H70" s="416"/>
      <c r="I70" s="118" t="s">
        <v>4</v>
      </c>
      <c r="J70" s="68"/>
      <c r="K70" s="128"/>
      <c r="L70" s="15"/>
      <c r="M70" s="213"/>
      <c r="N70" s="15"/>
      <c r="O70" s="15"/>
      <c r="P70" s="15"/>
      <c r="Q70" s="15"/>
      <c r="R70" s="15"/>
      <c r="S70" s="15"/>
      <c r="T70" s="15"/>
      <c r="U70" s="15"/>
      <c r="W70" s="214"/>
    </row>
    <row r="71" spans="2:23" x14ac:dyDescent="0.3">
      <c r="B71" s="58"/>
      <c r="C71" s="52">
        <v>2</v>
      </c>
      <c r="D71" s="414" t="s">
        <v>322</v>
      </c>
      <c r="E71" s="415"/>
      <c r="F71" s="415"/>
      <c r="G71" s="415"/>
      <c r="H71" s="416"/>
      <c r="I71" s="118" t="s">
        <v>4</v>
      </c>
      <c r="J71" s="68"/>
      <c r="K71" s="128"/>
      <c r="L71" s="15"/>
      <c r="M71" s="213"/>
      <c r="N71" s="15"/>
      <c r="O71" s="15"/>
      <c r="P71" s="15"/>
      <c r="Q71" s="216"/>
      <c r="R71" s="15"/>
      <c r="S71" s="15"/>
      <c r="T71" s="15"/>
      <c r="U71" s="15"/>
    </row>
    <row r="72" spans="2:23" ht="15" thickBot="1" x14ac:dyDescent="0.35">
      <c r="B72" s="58"/>
      <c r="C72" s="52">
        <v>3</v>
      </c>
      <c r="D72" s="435" t="s">
        <v>323</v>
      </c>
      <c r="E72" s="435"/>
      <c r="F72" s="435"/>
      <c r="G72" s="435"/>
      <c r="H72" s="442"/>
      <c r="I72" s="80" t="s">
        <v>4</v>
      </c>
      <c r="J72" s="68"/>
      <c r="K72" s="128"/>
      <c r="L72" s="15"/>
      <c r="M72" s="15"/>
      <c r="N72" s="15"/>
      <c r="O72" s="15"/>
      <c r="P72" s="15"/>
      <c r="Q72" s="15"/>
      <c r="R72" s="15"/>
      <c r="S72" s="15"/>
      <c r="T72" s="15"/>
      <c r="U72" s="15"/>
    </row>
    <row r="73" spans="2:23" ht="15.6" thickTop="1" thickBot="1" x14ac:dyDescent="0.35">
      <c r="B73" s="58"/>
      <c r="C73" s="439" t="s">
        <v>679</v>
      </c>
      <c r="D73" s="439"/>
      <c r="E73" s="439"/>
      <c r="F73" s="439"/>
      <c r="G73" s="439"/>
      <c r="H73" s="422" t="str">
        <f>IF(OR(I70="YES",I71="YES",I72="YES"),"WARRANTED","NOT WARRANTED")</f>
        <v>WARRANTED</v>
      </c>
      <c r="I73" s="423"/>
      <c r="J73" s="68"/>
      <c r="K73" s="15"/>
      <c r="L73" s="15"/>
      <c r="M73" s="15"/>
      <c r="N73" s="15"/>
      <c r="O73" s="15"/>
      <c r="P73" s="15"/>
      <c r="Q73" s="15"/>
      <c r="R73" s="15"/>
      <c r="S73" s="15"/>
      <c r="T73" s="15"/>
      <c r="U73" s="15"/>
    </row>
    <row r="74" spans="2:23" ht="15" thickTop="1" x14ac:dyDescent="0.3">
      <c r="B74" s="60"/>
      <c r="C74" s="88"/>
      <c r="D74" s="90"/>
      <c r="E74" s="90"/>
      <c r="F74" s="90"/>
      <c r="G74" s="90"/>
      <c r="H74" s="90"/>
      <c r="I74" s="90"/>
      <c r="J74" s="71"/>
      <c r="K74" s="15"/>
      <c r="L74" s="15"/>
      <c r="M74" s="15"/>
      <c r="N74" s="15"/>
      <c r="O74" s="15"/>
      <c r="P74" s="15"/>
      <c r="Q74" s="15"/>
      <c r="R74" s="15"/>
      <c r="S74" s="15"/>
      <c r="T74" s="15"/>
      <c r="U74" s="15"/>
    </row>
    <row r="75" spans="2:23" ht="14.4" customHeight="1" x14ac:dyDescent="0.3">
      <c r="B75" s="7"/>
      <c r="C75" s="113"/>
      <c r="D75" s="87"/>
      <c r="E75" s="87"/>
      <c r="F75" s="87"/>
      <c r="G75" s="87"/>
      <c r="H75" s="87"/>
      <c r="I75" s="87"/>
      <c r="J75" s="15"/>
      <c r="K75" s="15"/>
      <c r="L75" s="15"/>
      <c r="M75" s="15"/>
      <c r="N75" s="15"/>
      <c r="O75" s="15"/>
      <c r="P75" s="15"/>
      <c r="Q75" s="15"/>
      <c r="R75" s="15"/>
      <c r="S75" s="15"/>
      <c r="T75" s="15"/>
      <c r="U75" s="15"/>
    </row>
    <row r="76" spans="2:23" ht="8.4" customHeight="1" x14ac:dyDescent="0.3">
      <c r="B76" s="81"/>
      <c r="C76" s="72"/>
      <c r="D76" s="91"/>
      <c r="E76" s="91"/>
      <c r="F76" s="91"/>
      <c r="G76" s="91"/>
      <c r="H76" s="91"/>
      <c r="I76" s="91"/>
      <c r="J76" s="84"/>
      <c r="K76" s="15"/>
      <c r="L76" s="15"/>
      <c r="M76" s="15"/>
      <c r="N76" s="15"/>
      <c r="O76" s="15"/>
      <c r="P76" s="15"/>
      <c r="Q76" s="15"/>
      <c r="R76" s="15"/>
      <c r="S76" s="15"/>
      <c r="T76" s="15"/>
      <c r="U76" s="15"/>
    </row>
    <row r="77" spans="2:23" x14ac:dyDescent="0.3">
      <c r="B77" s="58"/>
      <c r="C77" s="446" t="s">
        <v>674</v>
      </c>
      <c r="D77" s="446"/>
      <c r="E77" s="446"/>
      <c r="F77" s="434"/>
      <c r="G77" s="434"/>
      <c r="H77" s="434"/>
      <c r="I77" s="15"/>
      <c r="J77" s="68"/>
      <c r="K77" s="15"/>
      <c r="L77" s="15" t="s">
        <v>418</v>
      </c>
      <c r="M77" s="15"/>
      <c r="N77" s="15"/>
      <c r="O77" s="15"/>
      <c r="P77" s="15"/>
      <c r="Q77" s="15"/>
      <c r="R77" s="15"/>
      <c r="S77" s="15"/>
      <c r="T77" s="15"/>
      <c r="U77" s="15"/>
    </row>
    <row r="78" spans="2:23" x14ac:dyDescent="0.3">
      <c r="B78" s="58"/>
      <c r="C78" s="435" t="s">
        <v>263</v>
      </c>
      <c r="D78" s="435"/>
      <c r="E78" s="435"/>
      <c r="F78" s="435"/>
      <c r="G78" s="435"/>
      <c r="H78" s="435"/>
      <c r="I78" s="52" t="s">
        <v>262</v>
      </c>
      <c r="J78" s="68"/>
      <c r="K78" s="15"/>
      <c r="L78" s="15"/>
      <c r="M78" s="15"/>
      <c r="N78" s="15"/>
      <c r="O78" s="15"/>
      <c r="P78" s="15"/>
      <c r="Q78" s="15"/>
      <c r="R78" s="15"/>
      <c r="S78" s="15"/>
      <c r="T78" s="15"/>
      <c r="U78" s="15"/>
    </row>
    <row r="79" spans="2:23" ht="29.4" customHeight="1" x14ac:dyDescent="0.3">
      <c r="B79" s="58"/>
      <c r="C79" s="52">
        <v>1</v>
      </c>
      <c r="D79" s="436" t="s">
        <v>324</v>
      </c>
      <c r="E79" s="437"/>
      <c r="F79" s="437"/>
      <c r="G79" s="437"/>
      <c r="H79" s="438"/>
      <c r="I79" s="118" t="s">
        <v>4</v>
      </c>
      <c r="J79" s="68"/>
      <c r="K79" s="15"/>
      <c r="L79" s="15"/>
      <c r="M79" s="15"/>
      <c r="N79" s="15"/>
      <c r="O79" s="15"/>
      <c r="P79" s="15"/>
      <c r="Q79" s="15"/>
      <c r="R79" s="15"/>
      <c r="S79" s="15"/>
      <c r="T79" s="15"/>
      <c r="U79" s="15"/>
    </row>
    <row r="80" spans="2:23" x14ac:dyDescent="0.3">
      <c r="B80" s="58"/>
      <c r="C80" s="52">
        <v>2</v>
      </c>
      <c r="D80" s="436" t="s">
        <v>325</v>
      </c>
      <c r="E80" s="437"/>
      <c r="F80" s="437"/>
      <c r="G80" s="437"/>
      <c r="H80" s="438"/>
      <c r="I80" s="118" t="s">
        <v>4</v>
      </c>
      <c r="J80" s="68"/>
      <c r="K80" s="128"/>
      <c r="L80" s="15"/>
      <c r="M80" s="15"/>
      <c r="N80" s="15"/>
      <c r="O80" s="15"/>
      <c r="P80" s="15"/>
      <c r="Q80" s="15"/>
      <c r="R80" s="15"/>
      <c r="S80" s="15"/>
      <c r="T80" s="15"/>
      <c r="U80" s="15"/>
    </row>
    <row r="81" spans="2:21" ht="29.4" customHeight="1" thickBot="1" x14ac:dyDescent="0.35">
      <c r="B81" s="58"/>
      <c r="C81" s="52">
        <v>3</v>
      </c>
      <c r="D81" s="444" t="s">
        <v>326</v>
      </c>
      <c r="E81" s="444"/>
      <c r="F81" s="444"/>
      <c r="G81" s="444"/>
      <c r="H81" s="445"/>
      <c r="I81" s="80" t="s">
        <v>4</v>
      </c>
      <c r="J81" s="68"/>
      <c r="K81" s="15"/>
      <c r="L81" s="15"/>
      <c r="M81" s="15"/>
      <c r="N81" s="15"/>
      <c r="O81" s="15"/>
      <c r="P81" s="15"/>
      <c r="Q81" s="15"/>
      <c r="R81" s="15"/>
      <c r="S81" s="15"/>
      <c r="T81" s="15"/>
      <c r="U81" s="15"/>
    </row>
    <row r="82" spans="2:21" ht="15.6" thickTop="1" thickBot="1" x14ac:dyDescent="0.35">
      <c r="B82" s="58"/>
      <c r="C82" s="439" t="s">
        <v>680</v>
      </c>
      <c r="D82" s="439"/>
      <c r="E82" s="439"/>
      <c r="F82" s="439"/>
      <c r="G82" s="439"/>
      <c r="H82" s="422" t="str">
        <f>IF(AND(I79="YES",I81="YES"),"WARRANTED",IF(I80="YES","WARRANTED",IF(OR(I79="YES",I81="YES"),"PARTIALLY WARRANTED","NOT WARRANTED")))</f>
        <v>WARRANTED</v>
      </c>
      <c r="I82" s="423"/>
      <c r="J82" s="68"/>
      <c r="K82" s="15"/>
      <c r="L82" s="15"/>
      <c r="M82" s="15"/>
      <c r="N82" s="15"/>
      <c r="O82" s="15"/>
      <c r="P82" s="15"/>
      <c r="Q82" s="15"/>
      <c r="R82" s="15"/>
      <c r="S82" s="15"/>
      <c r="T82" s="15"/>
      <c r="U82" s="15"/>
    </row>
    <row r="83" spans="2:21" ht="8.4" customHeight="1" thickTop="1" x14ac:dyDescent="0.3">
      <c r="B83" s="60"/>
      <c r="C83" s="88"/>
      <c r="D83" s="88"/>
      <c r="E83" s="89"/>
      <c r="F83" s="89"/>
      <c r="G83" s="89"/>
      <c r="H83" s="89"/>
      <c r="I83" s="70"/>
      <c r="J83" s="71"/>
      <c r="K83" s="15"/>
      <c r="L83" s="15"/>
      <c r="M83" s="15"/>
      <c r="N83" s="15"/>
      <c r="O83" s="15"/>
      <c r="P83" s="15"/>
      <c r="Q83" s="15"/>
      <c r="R83" s="15"/>
      <c r="S83" s="15"/>
      <c r="T83" s="15"/>
      <c r="U83" s="15"/>
    </row>
    <row r="84" spans="2:21" ht="28.2" customHeight="1" x14ac:dyDescent="0.3">
      <c r="B84" s="7"/>
      <c r="C84" s="113"/>
      <c r="D84" s="113"/>
      <c r="E84" s="107"/>
      <c r="F84" s="107"/>
      <c r="G84" s="107"/>
      <c r="H84" s="107"/>
      <c r="I84" s="15"/>
      <c r="J84" s="15"/>
      <c r="K84" s="15"/>
      <c r="L84" s="15"/>
      <c r="M84" s="15"/>
      <c r="N84" s="15"/>
      <c r="O84" s="15"/>
      <c r="P84" s="15"/>
      <c r="Q84" s="15"/>
      <c r="R84" s="15"/>
      <c r="S84" s="15"/>
      <c r="T84" s="15"/>
      <c r="U84" s="15"/>
    </row>
    <row r="85" spans="2:21" ht="28.95" customHeight="1" x14ac:dyDescent="0.3">
      <c r="B85" s="7"/>
      <c r="C85" s="4">
        <v>3</v>
      </c>
      <c r="D85" s="317" t="s">
        <v>601</v>
      </c>
      <c r="E85" s="317"/>
      <c r="F85" s="317"/>
      <c r="G85" s="317"/>
      <c r="H85" s="218"/>
    </row>
    <row r="86" spans="2:21" ht="14.4" customHeight="1" x14ac:dyDescent="0.3">
      <c r="B86" s="7"/>
      <c r="D86" s="7"/>
      <c r="E86" s="20" t="s">
        <v>440</v>
      </c>
      <c r="F86" s="321" t="str">
        <f>IF('Project Information'!F11=0,"-",'Project Information'!F11)</f>
        <v>-</v>
      </c>
      <c r="G86" s="321"/>
      <c r="H86" s="217"/>
    </row>
    <row r="87" spans="2:21" ht="14.4" customHeight="1" x14ac:dyDescent="0.3">
      <c r="B87" s="7"/>
      <c r="D87" s="7"/>
      <c r="E87" s="20" t="s">
        <v>6</v>
      </c>
      <c r="F87" s="321" t="str">
        <f>IF('Project Information'!F12=0,"-",'Project Information'!F12)</f>
        <v>-</v>
      </c>
      <c r="G87" s="321"/>
      <c r="H87" s="20"/>
    </row>
    <row r="88" spans="2:21" ht="14.4" customHeight="1" x14ac:dyDescent="0.3">
      <c r="B88" s="7"/>
      <c r="D88" s="7"/>
      <c r="E88" s="20" t="s">
        <v>297</v>
      </c>
      <c r="F88" s="321" t="str">
        <f>IF('Project Information'!F13=0,"-",'Project Information'!F13)</f>
        <v>-</v>
      </c>
      <c r="G88" s="321"/>
      <c r="H88" s="20"/>
    </row>
    <row r="89" spans="2:21" ht="14.4" customHeight="1" x14ac:dyDescent="0.3">
      <c r="B89" s="7"/>
      <c r="D89" s="7"/>
      <c r="E89" s="20" t="s">
        <v>441</v>
      </c>
      <c r="F89" s="321" t="str">
        <f>IF('Project Information'!F14=0,"-",'Project Information'!F14)</f>
        <v>-</v>
      </c>
      <c r="G89" s="321"/>
      <c r="H89" s="20"/>
    </row>
    <row r="90" spans="2:21" ht="14.4" customHeight="1" x14ac:dyDescent="0.3">
      <c r="B90" s="7"/>
      <c r="D90" s="7"/>
      <c r="E90" s="20" t="s">
        <v>442</v>
      </c>
      <c r="F90" s="321" t="str">
        <f>IF('Project Information'!F15=0,"-",'Project Information'!F15)</f>
        <v>-</v>
      </c>
      <c r="G90" s="321"/>
      <c r="H90" s="20"/>
    </row>
    <row r="91" spans="2:21" ht="14.4" customHeight="1" x14ac:dyDescent="0.3">
      <c r="B91" s="7"/>
      <c r="D91" s="7"/>
      <c r="E91" s="20" t="s">
        <v>443</v>
      </c>
      <c r="F91" s="321" t="str">
        <f>IF('Project Information'!F16=0,"-",'Project Information'!F16)</f>
        <v>-</v>
      </c>
      <c r="G91" s="321"/>
      <c r="H91" s="20"/>
    </row>
    <row r="92" spans="2:21" ht="14.4" customHeight="1" x14ac:dyDescent="0.3">
      <c r="B92" s="7"/>
      <c r="D92" s="7"/>
      <c r="E92" s="20"/>
      <c r="F92" s="106"/>
      <c r="G92" s="7"/>
      <c r="H92" s="117"/>
    </row>
    <row r="93" spans="2:21" ht="14.4" customHeight="1" x14ac:dyDescent="0.3">
      <c r="B93" s="7"/>
      <c r="C93" s="55" t="s">
        <v>8</v>
      </c>
      <c r="D93" s="82"/>
      <c r="E93" s="82"/>
      <c r="F93" s="82"/>
      <c r="G93" s="100"/>
      <c r="H93" s="7"/>
      <c r="L93" s="101"/>
    </row>
    <row r="94" spans="2:21" ht="14.4" customHeight="1" x14ac:dyDescent="0.3">
      <c r="B94" s="7"/>
      <c r="C94" s="58"/>
      <c r="D94" s="7"/>
      <c r="E94" s="7"/>
      <c r="F94" s="7"/>
      <c r="G94" s="75"/>
      <c r="H94" s="7"/>
    </row>
    <row r="95" spans="2:21" ht="43.2" customHeight="1" x14ac:dyDescent="0.3">
      <c r="B95" s="7"/>
      <c r="C95" s="205" t="s">
        <v>13</v>
      </c>
      <c r="D95" s="317" t="s">
        <v>688</v>
      </c>
      <c r="E95" s="317"/>
      <c r="F95" s="317"/>
      <c r="G95" s="430"/>
      <c r="H95" s="7"/>
    </row>
    <row r="96" spans="2:21" ht="14.4" customHeight="1" x14ac:dyDescent="0.3">
      <c r="B96" s="7"/>
      <c r="C96" s="56"/>
      <c r="D96" s="106"/>
      <c r="E96" s="13"/>
      <c r="F96" s="15" t="s">
        <v>81</v>
      </c>
      <c r="G96" s="75"/>
      <c r="H96" s="7"/>
    </row>
    <row r="97" spans="2:21" ht="14.4" customHeight="1" x14ac:dyDescent="0.3">
      <c r="B97" s="7"/>
      <c r="C97" s="56"/>
      <c r="D97" s="207"/>
      <c r="E97" s="13"/>
      <c r="F97" s="15" t="s">
        <v>86</v>
      </c>
      <c r="G97" s="75"/>
      <c r="H97" s="7"/>
    </row>
    <row r="98" spans="2:21" ht="14.4" customHeight="1" x14ac:dyDescent="0.3">
      <c r="B98" s="7"/>
      <c r="C98" s="56"/>
      <c r="D98" s="106"/>
      <c r="E98" s="13"/>
      <c r="F98" s="15" t="s">
        <v>85</v>
      </c>
      <c r="G98" s="75"/>
      <c r="H98" s="7"/>
    </row>
    <row r="99" spans="2:21" ht="14.4" customHeight="1" x14ac:dyDescent="0.3">
      <c r="B99" s="7"/>
      <c r="C99" s="56"/>
      <c r="D99" s="207"/>
      <c r="E99" s="13"/>
      <c r="F99" s="15" t="s">
        <v>87</v>
      </c>
      <c r="G99" s="75"/>
      <c r="H99" s="7"/>
    </row>
    <row r="100" spans="2:21" ht="14.4" customHeight="1" x14ac:dyDescent="0.3">
      <c r="B100" s="7"/>
      <c r="C100" s="56"/>
      <c r="D100" s="106"/>
      <c r="E100" s="13"/>
      <c r="F100" s="15" t="s">
        <v>83</v>
      </c>
      <c r="G100" s="75"/>
      <c r="H100" s="7"/>
    </row>
    <row r="101" spans="2:21" ht="14.4" customHeight="1" thickBot="1" x14ac:dyDescent="0.35">
      <c r="B101" s="7"/>
      <c r="C101" s="57"/>
      <c r="D101" s="7"/>
      <c r="E101" s="16"/>
      <c r="F101" s="15"/>
      <c r="G101" s="75"/>
      <c r="H101" s="7"/>
    </row>
    <row r="102" spans="2:21" ht="14.4" customHeight="1" thickTop="1" thickBot="1" x14ac:dyDescent="0.35">
      <c r="B102" s="7"/>
      <c r="C102" s="57"/>
      <c r="D102" s="7"/>
      <c r="E102" s="140" t="s">
        <v>84</v>
      </c>
      <c r="F102" s="155">
        <f>SUM('11 CCTV Benefit'!F75:F76)</f>
        <v>0</v>
      </c>
      <c r="G102" s="75"/>
      <c r="H102" s="7"/>
    </row>
    <row r="103" spans="2:21" ht="14.4" customHeight="1" thickTop="1" x14ac:dyDescent="0.3">
      <c r="B103" s="7"/>
      <c r="C103" s="60"/>
      <c r="D103" s="132"/>
      <c r="E103" s="132"/>
      <c r="F103" s="132"/>
      <c r="G103" s="99"/>
      <c r="H103" s="7"/>
    </row>
    <row r="104" spans="2:21" ht="14.4" customHeight="1" x14ac:dyDescent="0.3">
      <c r="B104" s="7"/>
      <c r="C104" s="7"/>
      <c r="D104" s="7"/>
      <c r="E104" s="7"/>
      <c r="F104" s="7"/>
      <c r="G104" s="7"/>
      <c r="H104" s="7"/>
    </row>
    <row r="105" spans="2:21" ht="14.4" customHeight="1" x14ac:dyDescent="0.3">
      <c r="B105" s="7"/>
      <c r="C105" s="55" t="s">
        <v>14</v>
      </c>
      <c r="D105" s="82"/>
      <c r="E105" s="82"/>
      <c r="F105" s="82"/>
      <c r="G105" s="100"/>
      <c r="H105" s="7"/>
      <c r="L105" s="101"/>
    </row>
    <row r="106" spans="2:21" ht="14.4" customHeight="1" x14ac:dyDescent="0.3">
      <c r="B106" s="7"/>
      <c r="C106" s="58"/>
      <c r="D106" s="7"/>
      <c r="E106" s="7"/>
      <c r="F106" s="7"/>
      <c r="G106" s="75"/>
      <c r="H106" s="213"/>
    </row>
    <row r="107" spans="2:21" ht="43.2" customHeight="1" x14ac:dyDescent="0.3">
      <c r="B107" s="7"/>
      <c r="C107" s="56" t="s">
        <v>681</v>
      </c>
      <c r="D107" s="317" t="s">
        <v>595</v>
      </c>
      <c r="E107" s="317"/>
      <c r="F107" s="317"/>
      <c r="G107" s="430"/>
      <c r="H107" s="216"/>
      <c r="I107" s="7"/>
      <c r="J107" s="15"/>
      <c r="K107" s="156"/>
      <c r="L107" s="38"/>
      <c r="M107" s="38"/>
      <c r="N107" s="38"/>
      <c r="O107" s="15"/>
      <c r="P107" s="15"/>
      <c r="Q107" s="15"/>
      <c r="R107" s="15"/>
      <c r="S107" s="15"/>
      <c r="T107" s="15"/>
      <c r="U107" s="15"/>
    </row>
    <row r="108" spans="2:21" x14ac:dyDescent="0.3">
      <c r="B108" s="7"/>
      <c r="C108" s="57"/>
      <c r="D108" s="7"/>
      <c r="F108" s="105"/>
      <c r="G108" s="157" t="s">
        <v>404</v>
      </c>
      <c r="H108" s="15"/>
      <c r="J108" s="15"/>
      <c r="K108" s="120"/>
      <c r="L108" s="15"/>
      <c r="M108" s="127"/>
      <c r="N108" s="15"/>
      <c r="O108" s="15"/>
      <c r="P108" s="15"/>
      <c r="Q108" s="15"/>
      <c r="R108" s="15"/>
      <c r="S108" s="15"/>
      <c r="T108" s="15"/>
      <c r="U108" s="15"/>
    </row>
    <row r="109" spans="2:21" x14ac:dyDescent="0.3">
      <c r="B109" s="7"/>
      <c r="C109" s="57"/>
      <c r="D109" s="7"/>
      <c r="E109" s="126"/>
      <c r="F109" s="7"/>
      <c r="G109" s="75"/>
      <c r="H109" s="15"/>
      <c r="J109" s="15"/>
      <c r="K109" s="120"/>
      <c r="L109" s="15"/>
      <c r="M109" s="15"/>
      <c r="N109" s="15"/>
      <c r="O109" s="15"/>
      <c r="P109" s="15"/>
      <c r="Q109" s="15"/>
      <c r="R109" s="15"/>
      <c r="S109" s="15"/>
      <c r="T109" s="15"/>
      <c r="U109" s="15"/>
    </row>
    <row r="110" spans="2:21" ht="27.6" customHeight="1" x14ac:dyDescent="0.3">
      <c r="B110" s="7"/>
      <c r="C110" s="57" t="s">
        <v>682</v>
      </c>
      <c r="D110" s="317" t="s">
        <v>475</v>
      </c>
      <c r="E110" s="317"/>
      <c r="F110" s="317"/>
      <c r="G110" s="430"/>
      <c r="H110" s="213"/>
      <c r="J110" s="15"/>
      <c r="K110" s="120"/>
      <c r="L110" s="15"/>
      <c r="M110" s="15"/>
      <c r="N110" s="15"/>
      <c r="O110" s="15"/>
      <c r="P110" s="15"/>
      <c r="Q110" s="15"/>
      <c r="R110" s="15"/>
      <c r="S110" s="15"/>
      <c r="T110" s="15"/>
      <c r="U110" s="15"/>
    </row>
    <row r="111" spans="2:21" x14ac:dyDescent="0.3">
      <c r="B111" s="7"/>
      <c r="C111" s="57"/>
      <c r="D111" s="7"/>
      <c r="F111" s="118"/>
      <c r="G111" s="75"/>
      <c r="H111" s="216"/>
      <c r="J111" s="15"/>
      <c r="K111" s="120"/>
      <c r="L111" s="15"/>
      <c r="M111" s="113"/>
      <c r="N111" s="15"/>
      <c r="O111" s="15"/>
      <c r="P111" s="15"/>
      <c r="Q111" s="15"/>
      <c r="R111" s="15"/>
      <c r="S111" s="15"/>
      <c r="T111" s="15"/>
      <c r="U111" s="15"/>
    </row>
    <row r="112" spans="2:21" x14ac:dyDescent="0.3">
      <c r="B112" s="7"/>
      <c r="C112" s="57"/>
      <c r="D112" s="7"/>
      <c r="E112" s="7"/>
      <c r="F112" s="7"/>
      <c r="G112" s="75"/>
      <c r="H112" s="15"/>
      <c r="J112" s="15"/>
      <c r="K112" s="15"/>
      <c r="L112" s="15"/>
      <c r="M112" s="15"/>
      <c r="N112" s="15"/>
      <c r="O112" s="15"/>
      <c r="P112" s="15"/>
      <c r="Q112" s="15"/>
      <c r="R112" s="15"/>
      <c r="S112" s="15"/>
      <c r="T112" s="15"/>
      <c r="U112" s="15"/>
    </row>
    <row r="113" spans="2:21" ht="43.2" x14ac:dyDescent="0.3">
      <c r="B113" s="7"/>
      <c r="C113" s="150" t="s">
        <v>683</v>
      </c>
      <c r="D113" s="317" t="s">
        <v>449</v>
      </c>
      <c r="E113" s="317"/>
      <c r="F113" s="317"/>
      <c r="G113" s="430"/>
      <c r="H113" s="213"/>
      <c r="J113" s="15"/>
      <c r="K113" s="15"/>
      <c r="L113" s="15"/>
      <c r="M113" s="15"/>
      <c r="N113" s="15"/>
      <c r="O113" s="15"/>
      <c r="P113" s="15"/>
      <c r="Q113" s="15"/>
      <c r="R113" s="15"/>
      <c r="S113" s="15"/>
      <c r="T113" s="15"/>
      <c r="U113" s="15"/>
    </row>
    <row r="114" spans="2:21" x14ac:dyDescent="0.3">
      <c r="B114" s="7"/>
      <c r="C114" s="57"/>
      <c r="D114" s="7"/>
      <c r="E114" s="20"/>
      <c r="F114" s="118"/>
      <c r="G114" s="151" t="s">
        <v>333</v>
      </c>
      <c r="H114" s="216"/>
      <c r="J114" s="15"/>
      <c r="K114" s="15"/>
      <c r="L114" s="15"/>
      <c r="M114" s="15"/>
      <c r="N114" s="15"/>
      <c r="O114" s="15"/>
      <c r="P114" s="15"/>
      <c r="Q114" s="15"/>
      <c r="R114" s="15"/>
      <c r="S114" s="15"/>
      <c r="T114" s="15"/>
      <c r="U114" s="15"/>
    </row>
    <row r="115" spans="2:21" x14ac:dyDescent="0.3">
      <c r="B115" s="7"/>
      <c r="C115" s="57"/>
      <c r="D115" s="7"/>
      <c r="E115" s="20"/>
      <c r="F115" s="20"/>
      <c r="G115" s="104"/>
      <c r="H115" s="7"/>
      <c r="J115" s="15"/>
      <c r="K115" s="15"/>
      <c r="L115" s="15"/>
      <c r="M115" s="15"/>
      <c r="N115" s="15"/>
      <c r="O115" s="15"/>
      <c r="P115" s="15"/>
      <c r="Q115" s="15"/>
      <c r="R115" s="15"/>
      <c r="S115" s="15"/>
      <c r="T115" s="15"/>
      <c r="U115" s="15"/>
    </row>
    <row r="116" spans="2:21" ht="43.2" x14ac:dyDescent="0.3">
      <c r="B116" s="7"/>
      <c r="C116" s="150" t="s">
        <v>684</v>
      </c>
      <c r="D116" s="317" t="s">
        <v>471</v>
      </c>
      <c r="E116" s="317"/>
      <c r="F116" s="317"/>
      <c r="G116" s="430"/>
      <c r="H116" s="7"/>
      <c r="J116" s="15"/>
      <c r="K116" s="15"/>
      <c r="L116" s="15"/>
      <c r="M116" s="15"/>
      <c r="N116" s="15"/>
      <c r="O116" s="15"/>
      <c r="P116" s="15"/>
      <c r="Q116" s="15"/>
      <c r="R116" s="15"/>
      <c r="S116" s="15"/>
      <c r="T116" s="15"/>
      <c r="U116" s="15"/>
    </row>
    <row r="117" spans="2:21" x14ac:dyDescent="0.3">
      <c r="B117" s="7"/>
      <c r="C117" s="57"/>
      <c r="D117" s="106"/>
      <c r="E117" s="106"/>
      <c r="F117" s="118"/>
      <c r="G117" s="151" t="s">
        <v>332</v>
      </c>
      <c r="H117" s="7"/>
      <c r="J117" s="15"/>
      <c r="K117" s="15"/>
      <c r="L117" s="15"/>
      <c r="M117" s="15"/>
      <c r="N117" s="15"/>
      <c r="O117" s="15"/>
      <c r="P117" s="15"/>
      <c r="Q117" s="15"/>
      <c r="R117" s="15"/>
      <c r="S117" s="15"/>
      <c r="T117" s="15"/>
      <c r="U117" s="15"/>
    </row>
    <row r="118" spans="2:21" x14ac:dyDescent="0.3">
      <c r="B118" s="7"/>
      <c r="C118" s="57"/>
      <c r="D118" s="106"/>
      <c r="E118" s="106"/>
      <c r="F118" s="106"/>
      <c r="G118" s="151"/>
      <c r="H118" s="7"/>
      <c r="J118" s="15"/>
      <c r="K118" s="15"/>
      <c r="L118" s="15"/>
      <c r="M118" s="15"/>
      <c r="N118" s="15"/>
      <c r="O118" s="15"/>
      <c r="P118" s="15"/>
      <c r="Q118" s="15"/>
      <c r="R118" s="15"/>
      <c r="S118" s="15"/>
      <c r="T118" s="15"/>
      <c r="U118" s="15"/>
    </row>
    <row r="119" spans="2:21" ht="43.2" x14ac:dyDescent="0.3">
      <c r="B119" s="7"/>
      <c r="C119" s="150" t="s">
        <v>685</v>
      </c>
      <c r="D119" s="360" t="s">
        <v>594</v>
      </c>
      <c r="E119" s="360"/>
      <c r="F119" s="360"/>
      <c r="G119" s="443"/>
      <c r="H119" s="15"/>
      <c r="J119" s="15"/>
      <c r="K119" s="15"/>
      <c r="L119" s="15"/>
      <c r="M119" s="15"/>
      <c r="N119" s="15"/>
      <c r="O119" s="15"/>
      <c r="P119" s="15"/>
      <c r="Q119" s="15"/>
      <c r="R119" s="15"/>
      <c r="S119" s="15"/>
      <c r="T119" s="15"/>
      <c r="U119" s="15"/>
    </row>
    <row r="120" spans="2:21" x14ac:dyDescent="0.3">
      <c r="B120" s="7"/>
      <c r="C120" s="57"/>
      <c r="D120" s="106"/>
      <c r="E120" s="106"/>
      <c r="F120" s="40"/>
      <c r="G120" s="151" t="s">
        <v>335</v>
      </c>
      <c r="H120" s="7"/>
      <c r="J120" s="15"/>
      <c r="K120" s="15"/>
      <c r="L120" s="15"/>
      <c r="M120" s="15"/>
      <c r="N120" s="15"/>
      <c r="O120" s="15"/>
      <c r="P120" s="15"/>
      <c r="Q120" s="15"/>
      <c r="R120" s="15"/>
      <c r="S120" s="15"/>
      <c r="T120" s="15"/>
      <c r="U120" s="15"/>
    </row>
    <row r="121" spans="2:21" ht="15" thickBot="1" x14ac:dyDescent="0.35">
      <c r="B121" s="7"/>
      <c r="C121" s="57"/>
      <c r="D121" s="106"/>
      <c r="E121" s="106"/>
      <c r="F121" s="106"/>
      <c r="G121" s="151"/>
      <c r="H121" s="7"/>
      <c r="J121" s="15"/>
      <c r="K121" s="15"/>
      <c r="L121" s="15"/>
      <c r="M121" s="15"/>
      <c r="N121" s="15"/>
      <c r="O121" s="15"/>
      <c r="P121" s="15"/>
      <c r="Q121" s="15"/>
      <c r="R121" s="15"/>
      <c r="S121" s="15"/>
      <c r="T121" s="15"/>
      <c r="U121" s="15"/>
    </row>
    <row r="122" spans="2:21" ht="16.2" customHeight="1" thickTop="1" thickBot="1" x14ac:dyDescent="0.35">
      <c r="B122" s="7"/>
      <c r="C122" s="57"/>
      <c r="D122" s="7"/>
      <c r="E122" s="140" t="s">
        <v>109</v>
      </c>
      <c r="F122" s="155">
        <f>SUM('11 CCTV Benefit'!F137:F138)</f>
        <v>0</v>
      </c>
      <c r="G122" s="75"/>
      <c r="H122" s="7"/>
      <c r="J122" s="15"/>
      <c r="K122" s="15"/>
      <c r="L122" s="15"/>
      <c r="M122" s="15"/>
      <c r="N122" s="15"/>
      <c r="O122" s="15"/>
      <c r="P122" s="15"/>
      <c r="Q122" s="15"/>
      <c r="R122" s="15"/>
      <c r="S122" s="15"/>
      <c r="T122" s="15"/>
      <c r="U122" s="15"/>
    </row>
    <row r="123" spans="2:21" ht="15" thickTop="1" x14ac:dyDescent="0.3">
      <c r="C123" s="60"/>
      <c r="D123" s="132"/>
      <c r="E123" s="132"/>
      <c r="F123" s="132"/>
      <c r="G123" s="99"/>
      <c r="H123" s="7"/>
      <c r="J123" s="15"/>
      <c r="K123" s="15"/>
      <c r="L123" s="15"/>
      <c r="M123" s="15"/>
      <c r="N123" s="15"/>
      <c r="O123" s="15"/>
      <c r="P123" s="15"/>
      <c r="Q123" s="15"/>
      <c r="R123" s="15"/>
      <c r="S123" s="15"/>
      <c r="T123" s="15"/>
      <c r="U123" s="15"/>
    </row>
    <row r="124" spans="2:21" x14ac:dyDescent="0.3">
      <c r="C124" s="7"/>
      <c r="D124" s="7"/>
      <c r="E124" s="7"/>
      <c r="F124" s="7"/>
      <c r="G124" s="7"/>
      <c r="H124" s="7"/>
      <c r="J124" s="15"/>
      <c r="K124" s="15"/>
      <c r="L124" s="15"/>
      <c r="M124" s="15"/>
      <c r="N124" s="15"/>
      <c r="O124" s="15"/>
      <c r="P124" s="15"/>
      <c r="Q124" s="15"/>
      <c r="R124" s="15"/>
      <c r="S124" s="15"/>
      <c r="T124" s="15"/>
      <c r="U124" s="15"/>
    </row>
    <row r="125" spans="2:21" x14ac:dyDescent="0.3">
      <c r="C125" s="55" t="s">
        <v>24</v>
      </c>
      <c r="D125" s="82"/>
      <c r="E125" s="82"/>
      <c r="F125" s="82"/>
      <c r="G125" s="100"/>
      <c r="H125" s="7"/>
      <c r="J125" s="15"/>
      <c r="K125" s="15"/>
      <c r="L125" s="102"/>
      <c r="M125" s="15"/>
      <c r="N125" s="15"/>
      <c r="O125" s="15"/>
      <c r="P125" s="15"/>
      <c r="Q125" s="15"/>
      <c r="R125" s="15"/>
      <c r="S125" s="15"/>
      <c r="T125" s="15"/>
      <c r="U125" s="15"/>
    </row>
    <row r="126" spans="2:21" x14ac:dyDescent="0.3">
      <c r="C126" s="58"/>
      <c r="D126" s="7"/>
      <c r="E126" s="7"/>
      <c r="F126" s="7"/>
      <c r="G126" s="75"/>
      <c r="H126" s="58"/>
      <c r="I126" s="7"/>
      <c r="J126" s="15"/>
      <c r="K126" s="15"/>
      <c r="L126" s="15"/>
      <c r="M126" s="15"/>
      <c r="N126" s="15"/>
      <c r="O126" s="15"/>
      <c r="P126" s="15"/>
      <c r="Q126" s="15"/>
      <c r="R126" s="15"/>
      <c r="S126" s="15"/>
      <c r="T126" s="15"/>
      <c r="U126" s="15"/>
    </row>
    <row r="127" spans="2:21" ht="59.4" customHeight="1" x14ac:dyDescent="0.3">
      <c r="C127" s="56" t="s">
        <v>25</v>
      </c>
      <c r="D127" s="317" t="s">
        <v>687</v>
      </c>
      <c r="E127" s="317"/>
      <c r="F127" s="317"/>
      <c r="G127" s="430"/>
      <c r="H127" s="229"/>
      <c r="I127" s="7"/>
      <c r="J127" s="15"/>
      <c r="K127" s="15"/>
      <c r="L127" s="15"/>
      <c r="M127" s="15"/>
      <c r="N127" s="15"/>
      <c r="O127" s="15"/>
      <c r="P127" s="15"/>
      <c r="Q127" s="15"/>
      <c r="R127" s="15"/>
      <c r="S127" s="15"/>
      <c r="T127" s="15"/>
      <c r="U127" s="15"/>
    </row>
    <row r="128" spans="2:21" x14ac:dyDescent="0.3">
      <c r="C128" s="57"/>
      <c r="D128" s="7"/>
      <c r="E128" s="369"/>
      <c r="F128" s="370"/>
      <c r="G128" s="75"/>
      <c r="H128" s="216"/>
      <c r="I128" s="7"/>
      <c r="J128" s="15"/>
      <c r="K128" s="15"/>
      <c r="L128" s="15"/>
      <c r="M128" s="15"/>
      <c r="N128" s="15"/>
      <c r="O128" s="15"/>
      <c r="P128" s="15"/>
      <c r="Q128" s="15"/>
      <c r="R128" s="15"/>
      <c r="S128" s="15"/>
      <c r="T128" s="15"/>
      <c r="U128" s="15"/>
    </row>
    <row r="129" spans="3:21" ht="48" customHeight="1" x14ac:dyDescent="0.3">
      <c r="C129" s="56" t="s">
        <v>110</v>
      </c>
      <c r="D129" s="317" t="s">
        <v>198</v>
      </c>
      <c r="E129" s="317"/>
      <c r="F129" s="317"/>
      <c r="G129" s="430"/>
      <c r="H129" s="15"/>
      <c r="J129" s="15"/>
      <c r="K129" s="15"/>
      <c r="L129" s="15"/>
      <c r="M129" s="15"/>
      <c r="N129" s="15"/>
      <c r="O129" s="15"/>
      <c r="P129" s="15"/>
      <c r="Q129" s="15"/>
      <c r="R129" s="15"/>
      <c r="S129" s="15"/>
      <c r="T129" s="15"/>
      <c r="U129" s="15"/>
    </row>
    <row r="130" spans="3:21" x14ac:dyDescent="0.3">
      <c r="C130" s="57"/>
      <c r="D130" s="7"/>
      <c r="E130" s="18"/>
      <c r="F130" s="7" t="s">
        <v>139</v>
      </c>
      <c r="G130" s="75"/>
      <c r="H130" s="15"/>
      <c r="J130" s="15"/>
      <c r="K130" s="15"/>
      <c r="L130" s="15"/>
      <c r="M130" s="15"/>
      <c r="N130" s="15"/>
      <c r="O130" s="15"/>
      <c r="P130" s="15"/>
      <c r="Q130" s="15"/>
      <c r="R130" s="15"/>
      <c r="S130" s="15"/>
      <c r="T130" s="15"/>
      <c r="U130" s="15"/>
    </row>
    <row r="131" spans="3:21" x14ac:dyDescent="0.3">
      <c r="C131" s="56" t="s">
        <v>140</v>
      </c>
      <c r="D131" s="7" t="s">
        <v>141</v>
      </c>
      <c r="F131" s="7"/>
      <c r="G131" s="75"/>
      <c r="H131" s="15"/>
      <c r="J131" s="15"/>
      <c r="K131" s="15"/>
      <c r="L131" s="15"/>
      <c r="M131" s="15"/>
      <c r="N131" s="15"/>
      <c r="O131" s="15"/>
      <c r="P131" s="15"/>
      <c r="Q131" s="15"/>
      <c r="R131" s="15"/>
      <c r="S131" s="15"/>
      <c r="T131" s="15"/>
      <c r="U131" s="15"/>
    </row>
    <row r="132" spans="3:21" x14ac:dyDescent="0.3">
      <c r="C132" s="57"/>
      <c r="D132" s="7"/>
      <c r="E132" s="32"/>
      <c r="F132" s="7"/>
      <c r="G132" s="75"/>
      <c r="H132" s="213"/>
      <c r="J132" s="15"/>
      <c r="K132" s="15"/>
      <c r="L132" s="15"/>
      <c r="M132" s="15"/>
      <c r="N132" s="15"/>
      <c r="O132" s="15"/>
      <c r="P132" s="15"/>
      <c r="Q132" s="15"/>
      <c r="R132" s="15"/>
      <c r="S132" s="15"/>
      <c r="T132" s="15"/>
      <c r="U132" s="15"/>
    </row>
    <row r="133" spans="3:21" x14ac:dyDescent="0.3">
      <c r="C133" s="57"/>
      <c r="D133" s="7"/>
      <c r="E133" s="12"/>
      <c r="F133" s="7"/>
      <c r="G133" s="75"/>
      <c r="H133" s="216"/>
      <c r="J133" s="15"/>
      <c r="K133" s="15"/>
      <c r="L133" s="15"/>
      <c r="M133" s="15"/>
      <c r="N133" s="15"/>
      <c r="O133" s="15"/>
      <c r="P133" s="15"/>
      <c r="Q133" s="15"/>
      <c r="R133" s="15"/>
      <c r="S133" s="15"/>
      <c r="T133" s="15"/>
      <c r="U133" s="15"/>
    </row>
    <row r="134" spans="3:21" x14ac:dyDescent="0.3">
      <c r="C134" s="190" t="s">
        <v>156</v>
      </c>
      <c r="D134" s="15" t="s">
        <v>591</v>
      </c>
      <c r="F134" s="15"/>
      <c r="G134" s="75"/>
      <c r="H134" s="7"/>
      <c r="J134" s="15"/>
      <c r="K134" s="15"/>
      <c r="L134" s="15"/>
      <c r="M134" s="15"/>
      <c r="N134" s="15"/>
      <c r="O134" s="15"/>
      <c r="P134" s="15"/>
      <c r="Q134" s="15"/>
      <c r="R134" s="15"/>
      <c r="S134" s="15"/>
      <c r="T134" s="15"/>
      <c r="U134" s="15"/>
    </row>
    <row r="135" spans="3:21" x14ac:dyDescent="0.3">
      <c r="C135" s="190"/>
      <c r="D135" s="15"/>
      <c r="E135" s="286"/>
      <c r="F135" s="15"/>
      <c r="G135" s="75"/>
      <c r="H135" s="7"/>
      <c r="J135" s="15"/>
      <c r="K135" s="15"/>
      <c r="L135" s="15"/>
      <c r="M135" s="15"/>
      <c r="N135" s="15"/>
      <c r="O135" s="15"/>
      <c r="P135" s="15"/>
      <c r="Q135" s="15"/>
      <c r="R135" s="15"/>
      <c r="S135" s="15"/>
      <c r="T135" s="15"/>
      <c r="U135" s="15"/>
    </row>
    <row r="136" spans="3:21" ht="15" thickBot="1" x14ac:dyDescent="0.35">
      <c r="C136" s="191"/>
      <c r="D136" s="15"/>
      <c r="E136" s="12"/>
      <c r="F136" s="15"/>
      <c r="G136" s="75"/>
      <c r="H136" s="7"/>
      <c r="J136" s="15"/>
      <c r="K136" s="15"/>
      <c r="L136" s="15"/>
      <c r="M136" s="15"/>
      <c r="N136" s="15"/>
      <c r="O136" s="15"/>
      <c r="P136" s="15"/>
      <c r="Q136" s="15"/>
      <c r="R136" s="15"/>
      <c r="S136" s="15"/>
      <c r="T136" s="15"/>
      <c r="U136" s="15"/>
    </row>
    <row r="137" spans="3:21" ht="15.6" thickTop="1" thickBot="1" x14ac:dyDescent="0.35">
      <c r="C137" s="57"/>
      <c r="D137" s="7"/>
      <c r="E137" s="140" t="s">
        <v>133</v>
      </c>
      <c r="F137" s="155" t="e">
        <f>'11 CCTV Benefit'!F178</f>
        <v>#VALUE!</v>
      </c>
      <c r="G137" s="75"/>
      <c r="H137" s="7"/>
      <c r="J137" s="15"/>
      <c r="K137" s="15"/>
      <c r="L137" s="15"/>
      <c r="M137" s="15"/>
      <c r="N137" s="15"/>
      <c r="O137" s="15"/>
      <c r="P137" s="15"/>
      <c r="Q137" s="15"/>
      <c r="R137" s="15"/>
      <c r="S137" s="15"/>
      <c r="T137" s="15"/>
      <c r="U137" s="15"/>
    </row>
    <row r="138" spans="3:21" ht="15" thickTop="1" x14ac:dyDescent="0.3">
      <c r="C138" s="60"/>
      <c r="D138" s="132"/>
      <c r="E138" s="132"/>
      <c r="F138" s="132"/>
      <c r="G138" s="99"/>
      <c r="H138" s="7"/>
      <c r="J138" s="15"/>
      <c r="K138" s="15"/>
      <c r="L138" s="15"/>
      <c r="M138" s="15"/>
      <c r="N138" s="15"/>
      <c r="O138" s="15"/>
      <c r="P138" s="15"/>
      <c r="Q138" s="15"/>
      <c r="R138" s="15"/>
      <c r="S138" s="15"/>
      <c r="T138" s="15"/>
      <c r="U138" s="15"/>
    </row>
    <row r="139" spans="3:21" x14ac:dyDescent="0.3">
      <c r="C139" s="158"/>
      <c r="D139" s="82"/>
      <c r="E139" s="82"/>
      <c r="F139" s="82"/>
      <c r="G139" s="82"/>
      <c r="H139" s="7"/>
      <c r="J139" s="15"/>
      <c r="K139" s="15"/>
      <c r="L139" s="15"/>
      <c r="M139" s="15"/>
      <c r="N139" s="15"/>
      <c r="O139" s="15"/>
      <c r="P139" s="15"/>
      <c r="Q139" s="15"/>
      <c r="R139" s="15"/>
      <c r="S139" s="15"/>
      <c r="T139" s="15"/>
      <c r="U139" s="15"/>
    </row>
    <row r="140" spans="3:21" x14ac:dyDescent="0.3">
      <c r="C140" s="55" t="s">
        <v>65</v>
      </c>
      <c r="D140" s="82"/>
      <c r="E140" s="82"/>
      <c r="F140" s="82"/>
      <c r="G140" s="100"/>
      <c r="H140" s="7"/>
      <c r="J140" s="15"/>
      <c r="K140" s="15"/>
      <c r="L140" s="102"/>
      <c r="M140" s="15"/>
      <c r="N140" s="15"/>
      <c r="O140" s="15"/>
      <c r="P140" s="15"/>
      <c r="Q140" s="15"/>
      <c r="R140" s="15"/>
      <c r="S140" s="15"/>
      <c r="T140" s="15"/>
      <c r="U140" s="15"/>
    </row>
    <row r="141" spans="3:21" ht="15" thickBot="1" x14ac:dyDescent="0.35">
      <c r="C141" s="57"/>
      <c r="D141" s="7"/>
      <c r="E141" s="7"/>
      <c r="F141" s="7"/>
      <c r="G141" s="75"/>
      <c r="H141" s="7"/>
      <c r="J141" s="15"/>
      <c r="K141" s="15"/>
      <c r="L141" s="15"/>
      <c r="M141" s="15"/>
      <c r="N141" s="15"/>
      <c r="O141" s="15"/>
      <c r="P141" s="15"/>
      <c r="Q141" s="15"/>
      <c r="R141" s="15"/>
      <c r="S141" s="15"/>
      <c r="T141" s="15"/>
      <c r="U141" s="15"/>
    </row>
    <row r="142" spans="3:21" ht="15.6" thickTop="1" thickBot="1" x14ac:dyDescent="0.35">
      <c r="C142" s="57"/>
      <c r="D142" s="7"/>
      <c r="E142" s="140" t="s">
        <v>131</v>
      </c>
      <c r="F142" s="159">
        <f>'11 CCTV Benefit'!F204</f>
        <v>0</v>
      </c>
      <c r="G142" s="75"/>
      <c r="H142" s="7"/>
      <c r="J142" s="15"/>
      <c r="K142" s="15"/>
      <c r="L142" s="15"/>
      <c r="M142" s="15"/>
      <c r="N142" s="15"/>
      <c r="O142" s="15"/>
      <c r="P142" s="15"/>
      <c r="Q142" s="15"/>
      <c r="R142" s="15"/>
      <c r="S142" s="15"/>
      <c r="T142" s="15"/>
      <c r="U142" s="15"/>
    </row>
    <row r="143" spans="3:21" ht="15" thickTop="1" x14ac:dyDescent="0.3">
      <c r="C143" s="59"/>
      <c r="D143" s="132"/>
      <c r="E143" s="142"/>
      <c r="F143" s="160"/>
      <c r="G143" s="99"/>
      <c r="H143" s="7"/>
    </row>
    <row r="144" spans="3:21" x14ac:dyDescent="0.3">
      <c r="C144" s="20"/>
      <c r="D144" s="7"/>
      <c r="E144" s="140"/>
      <c r="F144" s="161"/>
      <c r="G144" s="7"/>
      <c r="H144" s="7"/>
    </row>
    <row r="145" spans="3:9" ht="15" thickBot="1" x14ac:dyDescent="0.35">
      <c r="C145" s="113"/>
      <c r="D145" s="113"/>
      <c r="E145" s="107"/>
      <c r="F145" s="107"/>
      <c r="G145" s="107"/>
      <c r="H145" s="107"/>
      <c r="I145" s="15"/>
    </row>
    <row r="146" spans="3:9" ht="19.2" thickTop="1" thickBot="1" x14ac:dyDescent="0.35">
      <c r="C146" s="113"/>
      <c r="D146" s="113"/>
      <c r="E146" s="20"/>
      <c r="F146" s="94" t="s">
        <v>132</v>
      </c>
      <c r="G146" s="93" t="e">
        <f>'11 CCTV Benefit'!F207</f>
        <v>#VALUE!</v>
      </c>
      <c r="H146" s="107"/>
      <c r="I146" s="15"/>
    </row>
    <row r="147" spans="3:9" ht="19.2" thickTop="1" thickBot="1" x14ac:dyDescent="0.35">
      <c r="C147" s="113"/>
      <c r="D147" s="113"/>
      <c r="E147" s="20"/>
      <c r="F147" s="94" t="s">
        <v>330</v>
      </c>
      <c r="G147" s="96" t="e">
        <f>G146/F10</f>
        <v>#VALUE!</v>
      </c>
      <c r="H147" s="107"/>
      <c r="I147" s="15"/>
    </row>
    <row r="148" spans="3:9" ht="15" thickTop="1" x14ac:dyDescent="0.3">
      <c r="C148" s="113"/>
      <c r="D148" s="113"/>
      <c r="E148" s="107"/>
      <c r="F148" s="107"/>
      <c r="G148" s="107"/>
      <c r="H148" s="107"/>
      <c r="I148" s="15"/>
    </row>
    <row r="149" spans="3:9" x14ac:dyDescent="0.3">
      <c r="C149" s="42"/>
      <c r="D149" s="42"/>
      <c r="E149" s="42"/>
      <c r="F149" s="42"/>
      <c r="G149" s="42"/>
      <c r="H149" s="42"/>
      <c r="I149" s="15"/>
    </row>
    <row r="150" spans="3:9" x14ac:dyDescent="0.3">
      <c r="C150" s="42"/>
      <c r="D150" s="42"/>
      <c r="E150" s="42"/>
      <c r="F150" s="42"/>
      <c r="G150" s="42"/>
      <c r="H150" s="42"/>
      <c r="I150" s="15"/>
    </row>
    <row r="151" spans="3:9" x14ac:dyDescent="0.3">
      <c r="C151" s="42"/>
      <c r="D151" s="42"/>
      <c r="E151" s="42"/>
      <c r="F151" s="42"/>
      <c r="G151" s="42"/>
      <c r="H151" s="42"/>
      <c r="I151" s="15"/>
    </row>
    <row r="152" spans="3:9" x14ac:dyDescent="0.3">
      <c r="C152" s="42"/>
      <c r="D152" s="42"/>
      <c r="E152" s="42"/>
      <c r="F152" s="42"/>
      <c r="G152" s="42"/>
      <c r="H152" s="42"/>
      <c r="I152" s="15"/>
    </row>
    <row r="153" spans="3:9" x14ac:dyDescent="0.3">
      <c r="C153" s="42"/>
      <c r="D153" s="42"/>
      <c r="E153" s="42"/>
      <c r="F153" s="42"/>
      <c r="G153" s="42"/>
      <c r="H153" s="42"/>
      <c r="I153" s="15"/>
    </row>
    <row r="154" spans="3:9" x14ac:dyDescent="0.3">
      <c r="C154" s="42"/>
      <c r="D154" s="42"/>
      <c r="E154" s="42"/>
      <c r="F154" s="42"/>
      <c r="G154" s="42"/>
      <c r="H154" s="42"/>
      <c r="I154" s="15"/>
    </row>
    <row r="155" spans="3:9" x14ac:dyDescent="0.3">
      <c r="C155" s="42"/>
      <c r="D155" s="42"/>
      <c r="E155" s="42"/>
      <c r="F155" s="42"/>
      <c r="G155" s="42"/>
      <c r="H155" s="42"/>
      <c r="I155" s="15"/>
    </row>
    <row r="156" spans="3:9" x14ac:dyDescent="0.3">
      <c r="C156" s="42"/>
      <c r="D156" s="42"/>
      <c r="E156" s="42"/>
      <c r="F156" s="42"/>
      <c r="G156" s="42"/>
      <c r="H156" s="42"/>
      <c r="I156" s="15"/>
    </row>
    <row r="157" spans="3:9" x14ac:dyDescent="0.3">
      <c r="C157" s="42"/>
      <c r="D157" s="42"/>
      <c r="E157" s="42"/>
      <c r="F157" s="42"/>
      <c r="G157" s="42"/>
      <c r="H157" s="42"/>
      <c r="I157" s="15"/>
    </row>
    <row r="158" spans="3:9" x14ac:dyDescent="0.3">
      <c r="C158" s="42"/>
      <c r="D158" s="42"/>
      <c r="E158" s="42"/>
      <c r="F158" s="42"/>
      <c r="G158" s="42"/>
      <c r="H158" s="42"/>
      <c r="I158" s="15"/>
    </row>
    <row r="159" spans="3:9" x14ac:dyDescent="0.3">
      <c r="C159" s="42"/>
      <c r="D159" s="42"/>
      <c r="E159" s="42"/>
      <c r="F159" s="42"/>
      <c r="G159" s="42"/>
      <c r="H159" s="42"/>
      <c r="I159" s="15"/>
    </row>
    <row r="160" spans="3:9" x14ac:dyDescent="0.3">
      <c r="C160" s="42"/>
      <c r="D160" s="42"/>
      <c r="E160" s="42"/>
      <c r="F160" s="42"/>
      <c r="G160" s="42"/>
      <c r="H160" s="42"/>
      <c r="I160" s="15"/>
    </row>
    <row r="161" spans="3:9" x14ac:dyDescent="0.3">
      <c r="C161" s="42"/>
      <c r="D161" s="42"/>
      <c r="E161" s="42"/>
      <c r="F161" s="42"/>
      <c r="G161" s="42"/>
      <c r="H161" s="42"/>
      <c r="I161" s="15"/>
    </row>
    <row r="162" spans="3:9" x14ac:dyDescent="0.3">
      <c r="C162" s="42"/>
      <c r="D162" s="42"/>
      <c r="E162" s="42"/>
      <c r="F162" s="42"/>
      <c r="G162" s="42"/>
      <c r="H162" s="42"/>
      <c r="I162" s="15"/>
    </row>
    <row r="163" spans="3:9" x14ac:dyDescent="0.3">
      <c r="C163" s="42"/>
      <c r="D163" s="42"/>
      <c r="E163" s="42"/>
      <c r="F163" s="42"/>
      <c r="G163" s="42"/>
      <c r="H163" s="42"/>
      <c r="I163" s="15"/>
    </row>
    <row r="164" spans="3:9" x14ac:dyDescent="0.3">
      <c r="C164" s="42"/>
      <c r="D164" s="42"/>
      <c r="E164" s="42"/>
      <c r="F164" s="42"/>
      <c r="G164" s="42"/>
      <c r="H164" s="42"/>
      <c r="I164" s="15"/>
    </row>
    <row r="165" spans="3:9" x14ac:dyDescent="0.3">
      <c r="C165" s="42"/>
      <c r="D165" s="42"/>
      <c r="E165" s="42"/>
      <c r="F165" s="42"/>
      <c r="G165" s="42"/>
      <c r="H165" s="42"/>
    </row>
  </sheetData>
  <mergeCells count="81">
    <mergeCell ref="C73:G73"/>
    <mergeCell ref="H73:I73"/>
    <mergeCell ref="D81:H81"/>
    <mergeCell ref="C77:E77"/>
    <mergeCell ref="F68:H68"/>
    <mergeCell ref="C69:H69"/>
    <mergeCell ref="D70:H70"/>
    <mergeCell ref="D71:H71"/>
    <mergeCell ref="D72:H72"/>
    <mergeCell ref="E128:F128"/>
    <mergeCell ref="D95:G95"/>
    <mergeCell ref="D127:G127"/>
    <mergeCell ref="D129:G129"/>
    <mergeCell ref="D107:G107"/>
    <mergeCell ref="D113:G113"/>
    <mergeCell ref="D116:G116"/>
    <mergeCell ref="D119:G119"/>
    <mergeCell ref="D110:G110"/>
    <mergeCell ref="F6:G6"/>
    <mergeCell ref="C1:C2"/>
    <mergeCell ref="D1:H1"/>
    <mergeCell ref="D2:H2"/>
    <mergeCell ref="D3:F3"/>
    <mergeCell ref="F5:G5"/>
    <mergeCell ref="F7:G7"/>
    <mergeCell ref="D10:E10"/>
    <mergeCell ref="F10:G10"/>
    <mergeCell ref="D85:G85"/>
    <mergeCell ref="F86:G86"/>
    <mergeCell ref="C25:H25"/>
    <mergeCell ref="D26:H26"/>
    <mergeCell ref="D27:H27"/>
    <mergeCell ref="D28:H28"/>
    <mergeCell ref="C29:G29"/>
    <mergeCell ref="H29:I29"/>
    <mergeCell ref="D36:H36"/>
    <mergeCell ref="C35:H35"/>
    <mergeCell ref="D12:H12"/>
    <mergeCell ref="F13:G13"/>
    <mergeCell ref="F14:G14"/>
    <mergeCell ref="C59:H59"/>
    <mergeCell ref="D60:H60"/>
    <mergeCell ref="D61:H61"/>
    <mergeCell ref="F15:G15"/>
    <mergeCell ref="F16:G16"/>
    <mergeCell ref="F17:G17"/>
    <mergeCell ref="F18:G18"/>
    <mergeCell ref="D42:H42"/>
    <mergeCell ref="D37:H37"/>
    <mergeCell ref="D38:H38"/>
    <mergeCell ref="D39:H39"/>
    <mergeCell ref="D40:H40"/>
    <mergeCell ref="D41:H41"/>
    <mergeCell ref="B21:J21"/>
    <mergeCell ref="D62:H62"/>
    <mergeCell ref="D63:H63"/>
    <mergeCell ref="C64:G64"/>
    <mergeCell ref="H64:I64"/>
    <mergeCell ref="C43:G43"/>
    <mergeCell ref="H43:I43"/>
    <mergeCell ref="F47:H47"/>
    <mergeCell ref="C48:H48"/>
    <mergeCell ref="D49:H49"/>
    <mergeCell ref="D50:H50"/>
    <mergeCell ref="D51:H51"/>
    <mergeCell ref="D52:H52"/>
    <mergeCell ref="D53:H53"/>
    <mergeCell ref="C54:G54"/>
    <mergeCell ref="H54:I54"/>
    <mergeCell ref="F58:H58"/>
    <mergeCell ref="F88:G88"/>
    <mergeCell ref="F89:G89"/>
    <mergeCell ref="F90:G90"/>
    <mergeCell ref="F91:G91"/>
    <mergeCell ref="F77:H77"/>
    <mergeCell ref="C78:H78"/>
    <mergeCell ref="D79:H79"/>
    <mergeCell ref="D80:H80"/>
    <mergeCell ref="F87:G87"/>
    <mergeCell ref="C82:G82"/>
    <mergeCell ref="H82:I82"/>
  </mergeCells>
  <conditionalFormatting sqref="C93:G94 C96:G103 C95">
    <cfRule type="expression" dxfId="15" priority="8">
      <formula>AND($H$29="NOT WARRANTED",$H$43="NOT WARRANTED",$H$54="NOT WARRANTED",$H$82="NOT WARRANTED")</formula>
    </cfRule>
  </conditionalFormatting>
  <conditionalFormatting sqref="C107:G112">
    <cfRule type="expression" dxfId="14" priority="7">
      <formula>$H$29="NOT WARRANTED"</formula>
    </cfRule>
  </conditionalFormatting>
  <conditionalFormatting sqref="C113:G120">
    <cfRule type="expression" dxfId="13" priority="6">
      <formula>AND($H$43="NOT WARRANTED",$H$54="NOT WARRANTED",$H$64="NOT WARRANTED",$H$82="NOT WARRANTED")</formula>
    </cfRule>
  </conditionalFormatting>
  <conditionalFormatting sqref="C105:G123 C140:G143">
    <cfRule type="expression" dxfId="12" priority="5">
      <formula>AND($H$29="NOT WARRANTED",$H$43="NOT WARRANTED",$H$54="NOT WARRANTED",$H$64="NOT WARRANTED",$H$82="NOT WARRANTED")</formula>
    </cfRule>
  </conditionalFormatting>
  <conditionalFormatting sqref="C125:G138">
    <cfRule type="expression" dxfId="8" priority="4">
      <formula>$H$73="NOT WARRANTED"</formula>
    </cfRule>
  </conditionalFormatting>
  <conditionalFormatting sqref="C134:D134 F134 C135:F135">
    <cfRule type="expression" dxfId="11" priority="3">
      <formula>$D$28="NO"</formula>
    </cfRule>
  </conditionalFormatting>
  <conditionalFormatting sqref="F86:G91">
    <cfRule type="expression" dxfId="10" priority="2">
      <formula>AND($F$13="NOT WARRANTED",$F$14="NOT WARRANTED",$F$15="NOT WARRANTED",$F$16="NOT WARRANTED")</formula>
    </cfRule>
  </conditionalFormatting>
  <conditionalFormatting sqref="D95:G95">
    <cfRule type="expression" dxfId="9" priority="1">
      <formula>AND($H$29="NOT WARRANTED",$H$43="NOT WARRANTED",$H$54="NOT WARRANTED",$H$82="NOT WARRANTED")</formula>
    </cfRule>
  </conditionalFormatting>
  <dataValidations count="5">
    <dataValidation showInputMessage="1" showErrorMessage="1" sqref="F11:G11"/>
    <dataValidation type="whole" allowBlank="1" showInputMessage="1" showErrorMessage="1" sqref="F10">
      <formula1>0</formula1>
      <formula2>10000000</formula2>
    </dataValidation>
    <dataValidation type="list" showInputMessage="1" showErrorMessage="1" sqref="I26:I28 I36:I42 I49:I53 I60:I63 I70:I72 I79:I81">
      <formula1>YES.NO</formula1>
    </dataValidation>
    <dataValidation type="whole" operator="greaterThanOrEqual" allowBlank="1" showInputMessage="1" showErrorMessage="1" sqref="M108 F108">
      <formula1>0</formula1>
    </dataValidation>
    <dataValidation allowBlank="1" showInputMessage="1" showErrorMessage="1" promptTitle="Urban or Rural" sqref="F96:F100"/>
  </dataValidations>
  <pageMargins left="0.7" right="0.7" top="0.75" bottom="0.75" header="0.3" footer="0.3"/>
  <pageSetup scale="68" orientation="portrait" horizontalDpi="1200" verticalDpi="1200" r:id="rId1"/>
  <rowBreaks count="2" manualBreakCount="2">
    <brk id="55" max="16383" man="1"/>
    <brk id="104" max="16383" man="1"/>
  </rowBreaks>
  <ignoredErrors>
    <ignoredError sqref="F5:G7" unlockedFormula="1"/>
  </ignoredErrors>
  <drawing r:id="rId2"/>
  <extLst>
    <ext xmlns:x14="http://schemas.microsoft.com/office/spreadsheetml/2009/9/main" uri="{CCE6A557-97BC-4b89-ADB6-D9C93CAAB3DF}">
      <x14:dataValidations xmlns:xm="http://schemas.microsoft.com/office/excel/2006/main" count="4">
        <x14:dataValidation type="list" showInputMessage="1" showErrorMessage="1">
          <x14:formula1>
            <xm:f>'drop-downs'!$AR$2:$AR$5</xm:f>
          </x14:formula1>
          <xm:sqref>F111 M111</xm:sqref>
        </x14:dataValidation>
        <x14:dataValidation type="list" showInputMessage="1" showErrorMessage="1" errorTitle="Invalid Entry" error="Select Yes or No from the drop down menu.">
          <x14:formula1>
            <xm:f>'C:\Users\natalie.mengelkoch\Desktop\[WISDOT ITS Warrants.xlsx]DMS Warrants back page'!#REF!</xm:f>
          </x14:formula1>
          <xm:sqref>C145:C148 C83:C84</xm:sqref>
        </x14:dataValidation>
        <x14:dataValidation type="list" showInputMessage="1" showErrorMessage="1" promptTitle="Increased Maintenance">
          <x14:formula1>
            <xm:f>'drop-downs'!$Y$2:$Y$4</xm:f>
          </x14:formula1>
          <xm:sqref>E128:F128</xm:sqref>
        </x14:dataValidation>
        <x14:dataValidation type="list" allowBlank="1" showInputMessage="1" showErrorMessage="1">
          <x14:formula1>
            <xm:f>'drop-downs'!$AE$2:$AE$7</xm:f>
          </x14:formula1>
          <xm:sqref>E135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2060"/>
  </sheetPr>
  <dimension ref="A1:U208"/>
  <sheetViews>
    <sheetView topLeftCell="A151" workbookViewId="0">
      <selection activeCell="E176" sqref="E176"/>
    </sheetView>
  </sheetViews>
  <sheetFormatPr defaultColWidth="8.88671875" defaultRowHeight="14.4" x14ac:dyDescent="0.3"/>
  <cols>
    <col min="1" max="1" width="1.6640625" style="4" customWidth="1"/>
    <col min="2" max="2" width="2.109375" style="4" customWidth="1"/>
    <col min="3" max="3" width="10" style="4" customWidth="1"/>
    <col min="4" max="4" width="44.6640625" style="4" customWidth="1"/>
    <col min="5" max="5" width="18" style="4" customWidth="1"/>
    <col min="6" max="6" width="17.88671875" style="4" customWidth="1"/>
    <col min="7" max="7" width="22.6640625" style="4" customWidth="1"/>
    <col min="8" max="8" width="14" style="4" customWidth="1"/>
    <col min="9" max="9" width="12" style="4" customWidth="1"/>
    <col min="10" max="10" width="1.33203125" style="4" customWidth="1"/>
    <col min="11" max="16384" width="8.88671875" style="4"/>
  </cols>
  <sheetData>
    <row r="1" spans="2:11" x14ac:dyDescent="0.3">
      <c r="C1" s="428"/>
      <c r="D1" s="429" t="s">
        <v>239</v>
      </c>
      <c r="E1" s="429"/>
      <c r="F1" s="429"/>
      <c r="G1" s="429"/>
      <c r="H1" s="429"/>
    </row>
    <row r="2" spans="2:11" ht="31.2" customHeight="1" x14ac:dyDescent="0.3">
      <c r="C2" s="428"/>
      <c r="D2" s="316" t="s">
        <v>301</v>
      </c>
      <c r="E2" s="316"/>
      <c r="F2" s="316"/>
      <c r="G2" s="316"/>
      <c r="H2" s="316"/>
    </row>
    <row r="3" spans="2:11" ht="14.4" customHeight="1" x14ac:dyDescent="0.3">
      <c r="B3" s="7"/>
      <c r="C3" s="7"/>
      <c r="D3" s="377" t="s">
        <v>329</v>
      </c>
      <c r="E3" s="377"/>
      <c r="F3" s="377"/>
      <c r="G3" s="117"/>
      <c r="H3" s="117"/>
    </row>
    <row r="4" spans="2:11" ht="14.4" customHeight="1" x14ac:dyDescent="0.3">
      <c r="B4" s="7"/>
      <c r="C4" s="7"/>
      <c r="D4" s="119"/>
      <c r="E4" s="119"/>
      <c r="F4" s="119"/>
      <c r="G4" s="117"/>
      <c r="H4" s="117"/>
    </row>
    <row r="5" spans="2:11" ht="14.4" customHeight="1" x14ac:dyDescent="0.3">
      <c r="B5" s="7"/>
      <c r="D5" s="7"/>
      <c r="E5" s="20" t="s">
        <v>2</v>
      </c>
      <c r="F5" s="369" t="str">
        <f>'11 CCTV'!F5:G5</f>
        <v>-</v>
      </c>
      <c r="G5" s="370"/>
      <c r="H5" s="117"/>
    </row>
    <row r="6" spans="2:11" ht="14.4" customHeight="1" x14ac:dyDescent="0.3">
      <c r="B6" s="7"/>
      <c r="D6" s="7"/>
      <c r="E6" s="20" t="s">
        <v>0</v>
      </c>
      <c r="F6" s="369" t="str">
        <f>'11 CCTV'!F6:G6</f>
        <v>-</v>
      </c>
      <c r="G6" s="370"/>
      <c r="H6" s="117"/>
    </row>
    <row r="7" spans="2:11" ht="14.4" customHeight="1" x14ac:dyDescent="0.3">
      <c r="B7" s="7"/>
      <c r="D7" s="7"/>
      <c r="E7" s="20" t="s">
        <v>160</v>
      </c>
      <c r="F7" s="369" t="str">
        <f>'11 CCTV'!F7:G7</f>
        <v>-</v>
      </c>
      <c r="G7" s="370"/>
      <c r="H7" s="117"/>
    </row>
    <row r="8" spans="2:11" ht="14.4" customHeight="1" x14ac:dyDescent="0.3">
      <c r="B8" s="7"/>
      <c r="D8" s="7"/>
      <c r="E8" s="20"/>
      <c r="F8" s="117"/>
      <c r="G8" s="117"/>
      <c r="H8" s="117"/>
    </row>
    <row r="9" spans="2:11" ht="14.4" customHeight="1" x14ac:dyDescent="0.3">
      <c r="B9" s="7"/>
      <c r="D9" s="7"/>
      <c r="E9" s="7"/>
      <c r="F9" s="20"/>
      <c r="G9" s="7"/>
      <c r="H9" s="117"/>
    </row>
    <row r="10" spans="2:11" ht="14.4" customHeight="1" x14ac:dyDescent="0.3">
      <c r="B10" s="7"/>
      <c r="C10" s="50">
        <v>1</v>
      </c>
      <c r="D10" s="317" t="s">
        <v>233</v>
      </c>
      <c r="E10" s="430"/>
      <c r="F10" s="366">
        <f>'11 CCTV'!F10:G10</f>
        <v>0</v>
      </c>
      <c r="G10" s="368"/>
      <c r="H10" s="117"/>
    </row>
    <row r="11" spans="2:11" ht="14.4" customHeight="1" x14ac:dyDescent="0.3">
      <c r="B11" s="7"/>
      <c r="C11" s="50"/>
      <c r="E11" s="21"/>
      <c r="F11" s="46"/>
      <c r="G11" s="7"/>
      <c r="H11" s="117"/>
    </row>
    <row r="12" spans="2:11" ht="28.95" customHeight="1" x14ac:dyDescent="0.3">
      <c r="B12" s="7"/>
      <c r="C12" s="4">
        <v>2</v>
      </c>
      <c r="D12" s="317" t="s">
        <v>382</v>
      </c>
      <c r="E12" s="317"/>
      <c r="F12" s="317"/>
      <c r="G12" s="317"/>
      <c r="H12" s="117"/>
      <c r="K12" s="101"/>
    </row>
    <row r="13" spans="2:11" ht="14.4" customHeight="1" x14ac:dyDescent="0.3">
      <c r="B13" s="7"/>
      <c r="D13" s="7"/>
      <c r="E13" s="20" t="s">
        <v>440</v>
      </c>
      <c r="F13" s="321" t="str">
        <f>'11 CCTV'!F86:G86</f>
        <v>-</v>
      </c>
      <c r="G13" s="321"/>
      <c r="H13" s="117"/>
    </row>
    <row r="14" spans="2:11" ht="14.4" customHeight="1" x14ac:dyDescent="0.3">
      <c r="B14" s="7"/>
      <c r="D14" s="7"/>
      <c r="E14" s="20" t="s">
        <v>6</v>
      </c>
      <c r="F14" s="321" t="str">
        <f>'11 CCTV'!F87:G87</f>
        <v>-</v>
      </c>
      <c r="G14" s="321"/>
      <c r="H14" s="117"/>
    </row>
    <row r="15" spans="2:11" ht="14.4" customHeight="1" x14ac:dyDescent="0.3">
      <c r="B15" s="7"/>
      <c r="D15" s="7"/>
      <c r="E15" s="20" t="s">
        <v>297</v>
      </c>
      <c r="F15" s="321" t="str">
        <f>'11 CCTV'!F88:G88</f>
        <v>-</v>
      </c>
      <c r="G15" s="321"/>
      <c r="H15" s="125"/>
    </row>
    <row r="16" spans="2:11" ht="14.4" customHeight="1" x14ac:dyDescent="0.3">
      <c r="B16" s="7"/>
      <c r="D16" s="7"/>
      <c r="E16" s="20" t="s">
        <v>441</v>
      </c>
      <c r="F16" s="321" t="str">
        <f>'11 CCTV'!F89:G89</f>
        <v>-</v>
      </c>
      <c r="G16" s="321"/>
      <c r="H16" s="125"/>
    </row>
    <row r="17" spans="2:21" ht="14.4" customHeight="1" x14ac:dyDescent="0.3">
      <c r="B17" s="7"/>
      <c r="D17" s="7"/>
      <c r="E17" s="20" t="s">
        <v>442</v>
      </c>
      <c r="F17" s="321" t="str">
        <f>'11 CCTV'!F90:G90</f>
        <v>-</v>
      </c>
      <c r="G17" s="321"/>
      <c r="H17" s="125"/>
    </row>
    <row r="18" spans="2:21" ht="14.4" customHeight="1" x14ac:dyDescent="0.3">
      <c r="B18" s="7"/>
      <c r="D18" s="7"/>
      <c r="E18" s="20" t="s">
        <v>443</v>
      </c>
      <c r="F18" s="321" t="str">
        <f>'11 CCTV'!F91:G91</f>
        <v>-</v>
      </c>
      <c r="G18" s="321"/>
      <c r="H18" s="125"/>
    </row>
    <row r="19" spans="2:21" ht="14.4" customHeight="1" x14ac:dyDescent="0.3">
      <c r="B19" s="7"/>
      <c r="D19" s="7"/>
      <c r="E19" s="20"/>
      <c r="F19" s="106"/>
      <c r="G19" s="7"/>
      <c r="H19" s="117"/>
    </row>
    <row r="20" spans="2:21" ht="14.4" customHeight="1" x14ac:dyDescent="0.3">
      <c r="B20" s="7"/>
      <c r="D20" s="7"/>
      <c r="E20" s="20"/>
      <c r="F20" s="106"/>
      <c r="G20" s="7"/>
      <c r="H20" s="117"/>
    </row>
    <row r="21" spans="2:21" ht="14.4" customHeight="1" x14ac:dyDescent="0.3">
      <c r="B21" s="7"/>
      <c r="C21" s="50">
        <v>3</v>
      </c>
      <c r="D21" s="317" t="s">
        <v>302</v>
      </c>
      <c r="E21" s="317"/>
      <c r="F21" s="317"/>
      <c r="G21" s="317"/>
      <c r="H21" s="19"/>
    </row>
    <row r="22" spans="2:21" ht="14.4" customHeight="1" x14ac:dyDescent="0.3">
      <c r="B22" s="7"/>
      <c r="C22" s="50"/>
      <c r="E22" s="20" t="s">
        <v>362</v>
      </c>
      <c r="F22" s="405" t="str">
        <f>'11 CCTV'!F13:G13</f>
        <v>WARRANTED</v>
      </c>
      <c r="G22" s="406"/>
      <c r="H22" s="30" t="s">
        <v>368</v>
      </c>
    </row>
    <row r="23" spans="2:21" ht="14.4" customHeight="1" x14ac:dyDescent="0.3">
      <c r="B23" s="7"/>
      <c r="C23" s="50"/>
      <c r="E23" s="20" t="s">
        <v>363</v>
      </c>
      <c r="F23" s="405" t="str">
        <f>'11 CCTV'!F14:G14</f>
        <v>WARRANTED</v>
      </c>
      <c r="G23" s="406"/>
      <c r="H23" s="174" t="s">
        <v>430</v>
      </c>
    </row>
    <row r="24" spans="2:21" ht="14.4" customHeight="1" x14ac:dyDescent="0.3">
      <c r="B24" s="7"/>
      <c r="C24" s="50"/>
      <c r="E24" s="20" t="s">
        <v>364</v>
      </c>
      <c r="F24" s="405" t="str">
        <f>'11 CCTV'!F15:G15</f>
        <v>WARRANTED</v>
      </c>
      <c r="G24" s="406"/>
      <c r="H24" s="30" t="s">
        <v>430</v>
      </c>
    </row>
    <row r="25" spans="2:21" ht="14.4" customHeight="1" x14ac:dyDescent="0.3">
      <c r="B25" s="7"/>
      <c r="C25" s="50"/>
      <c r="E25" s="20" t="s">
        <v>365</v>
      </c>
      <c r="F25" s="405" t="str">
        <f>'11 CCTV'!F16:G16</f>
        <v>WARRANTED</v>
      </c>
      <c r="G25" s="406"/>
      <c r="H25" s="30" t="s">
        <v>430</v>
      </c>
    </row>
    <row r="26" spans="2:21" ht="14.4" customHeight="1" x14ac:dyDescent="0.3">
      <c r="B26" s="7"/>
      <c r="C26" s="50"/>
      <c r="E26" s="20" t="s">
        <v>366</v>
      </c>
      <c r="F26" s="405" t="str">
        <f>'11 CCTV'!F17:G17</f>
        <v>WARRANTED</v>
      </c>
      <c r="G26" s="406"/>
      <c r="H26" s="30" t="s">
        <v>361</v>
      </c>
    </row>
    <row r="27" spans="2:21" ht="14.4" customHeight="1" x14ac:dyDescent="0.3">
      <c r="B27" s="7"/>
      <c r="C27" s="50"/>
      <c r="E27" s="20" t="s">
        <v>367</v>
      </c>
      <c r="F27" s="405" t="str">
        <f>'11 CCTV'!F18:G18</f>
        <v>WARRANTED</v>
      </c>
      <c r="G27" s="406"/>
      <c r="H27" s="133" t="s">
        <v>429</v>
      </c>
    </row>
    <row r="28" spans="2:21" ht="14.4" customHeight="1" x14ac:dyDescent="0.3">
      <c r="B28" s="7"/>
      <c r="C28" s="50"/>
      <c r="E28" s="20"/>
      <c r="F28" s="117"/>
      <c r="G28" s="117"/>
      <c r="H28" s="117"/>
    </row>
    <row r="29" spans="2:21" ht="28.2" customHeight="1" x14ac:dyDescent="0.3">
      <c r="B29" s="7"/>
      <c r="C29" s="113"/>
      <c r="D29" s="113"/>
      <c r="E29" s="107"/>
      <c r="F29" s="107"/>
      <c r="G29" s="107"/>
      <c r="H29" s="107"/>
      <c r="I29" s="15"/>
      <c r="J29" s="15"/>
      <c r="K29" s="15"/>
      <c r="L29" s="15"/>
      <c r="M29" s="15"/>
      <c r="N29" s="15"/>
      <c r="O29" s="15"/>
      <c r="P29" s="15"/>
      <c r="Q29" s="15"/>
      <c r="R29" s="15"/>
      <c r="S29" s="15"/>
      <c r="T29" s="15"/>
      <c r="U29" s="15"/>
    </row>
    <row r="30" spans="2:21" ht="28.2" customHeight="1" x14ac:dyDescent="0.3">
      <c r="B30" s="7"/>
      <c r="C30" s="55" t="s">
        <v>451</v>
      </c>
      <c r="D30" s="82"/>
      <c r="E30" s="82"/>
      <c r="F30" s="82"/>
      <c r="G30" s="114"/>
      <c r="H30" s="204"/>
      <c r="I30" s="15"/>
      <c r="J30" s="15"/>
      <c r="K30" s="102"/>
      <c r="L30" s="15"/>
      <c r="M30" s="15"/>
      <c r="N30" s="15"/>
      <c r="O30" s="15"/>
      <c r="P30" s="15"/>
      <c r="Q30" s="15"/>
      <c r="R30" s="15"/>
      <c r="S30" s="15"/>
      <c r="T30" s="15"/>
      <c r="U30" s="15"/>
    </row>
    <row r="31" spans="2:21" x14ac:dyDescent="0.3">
      <c r="B31" s="7"/>
      <c r="C31" s="58"/>
      <c r="D31" s="7"/>
      <c r="E31" s="7"/>
      <c r="F31" s="7"/>
      <c r="G31" s="98"/>
      <c r="H31" s="107"/>
      <c r="I31" s="15"/>
      <c r="J31" s="15"/>
      <c r="K31" s="15"/>
      <c r="L31" s="15"/>
      <c r="M31" s="15"/>
      <c r="N31" s="15"/>
      <c r="O31" s="15"/>
      <c r="P31" s="15"/>
      <c r="Q31" s="15"/>
      <c r="R31" s="15"/>
      <c r="S31" s="15"/>
      <c r="T31" s="15"/>
      <c r="U31" s="15"/>
    </row>
    <row r="32" spans="2:21" x14ac:dyDescent="0.3">
      <c r="C32" s="56" t="s">
        <v>47</v>
      </c>
      <c r="D32" s="360" t="s">
        <v>80</v>
      </c>
      <c r="E32" s="360"/>
      <c r="F32" s="360"/>
      <c r="G32" s="68"/>
      <c r="H32" s="42"/>
      <c r="I32" s="15"/>
      <c r="J32" s="15"/>
      <c r="K32" s="15"/>
      <c r="L32" s="15"/>
      <c r="M32" s="15"/>
      <c r="N32" s="15"/>
      <c r="O32" s="15"/>
      <c r="P32" s="15"/>
      <c r="Q32" s="15"/>
      <c r="R32" s="15"/>
      <c r="S32" s="15"/>
      <c r="T32" s="15"/>
      <c r="U32" s="15"/>
    </row>
    <row r="33" spans="3:21" x14ac:dyDescent="0.3">
      <c r="C33" s="56"/>
      <c r="D33" s="107"/>
      <c r="E33" s="17">
        <f>'11 CCTV'!E96</f>
        <v>0</v>
      </c>
      <c r="F33" s="15" t="s">
        <v>81</v>
      </c>
      <c r="G33" s="68"/>
      <c r="H33" s="42"/>
      <c r="I33" s="15"/>
      <c r="J33" s="15"/>
      <c r="K33" s="15"/>
      <c r="L33" s="15"/>
      <c r="M33" s="15"/>
      <c r="N33" s="15"/>
      <c r="O33" s="15"/>
      <c r="P33" s="15"/>
      <c r="Q33" s="15"/>
      <c r="R33" s="15"/>
      <c r="S33" s="15"/>
      <c r="T33" s="15"/>
      <c r="U33" s="15"/>
    </row>
    <row r="34" spans="3:21" x14ac:dyDescent="0.3">
      <c r="C34" s="56"/>
      <c r="D34" s="208"/>
      <c r="E34" s="17">
        <f>'11 CCTV'!E97</f>
        <v>0</v>
      </c>
      <c r="F34" s="15" t="s">
        <v>86</v>
      </c>
      <c r="G34" s="68"/>
      <c r="H34" s="42"/>
      <c r="I34" s="15"/>
      <c r="J34" s="15"/>
      <c r="K34" s="15"/>
      <c r="L34" s="15"/>
      <c r="M34" s="15"/>
      <c r="N34" s="15"/>
      <c r="O34" s="15"/>
      <c r="P34" s="15"/>
      <c r="Q34" s="15"/>
      <c r="R34" s="15"/>
      <c r="S34" s="15"/>
      <c r="T34" s="15"/>
      <c r="U34" s="15"/>
    </row>
    <row r="35" spans="3:21" x14ac:dyDescent="0.3">
      <c r="C35" s="56"/>
      <c r="D35" s="107"/>
      <c r="E35" s="17">
        <f>'11 CCTV'!E98</f>
        <v>0</v>
      </c>
      <c r="F35" s="15" t="s">
        <v>85</v>
      </c>
      <c r="G35" s="68"/>
      <c r="H35" s="42"/>
      <c r="I35" s="15"/>
      <c r="J35" s="15"/>
      <c r="K35" s="15"/>
      <c r="L35" s="15"/>
      <c r="M35" s="15"/>
      <c r="N35" s="15"/>
      <c r="O35" s="15"/>
      <c r="P35" s="15"/>
      <c r="Q35" s="15"/>
      <c r="R35" s="15"/>
      <c r="S35" s="15"/>
      <c r="T35" s="15"/>
      <c r="U35" s="15"/>
    </row>
    <row r="36" spans="3:21" x14ac:dyDescent="0.3">
      <c r="C36" s="56"/>
      <c r="D36" s="208"/>
      <c r="E36" s="17">
        <f>'11 CCTV'!E99</f>
        <v>0</v>
      </c>
      <c r="F36" s="15" t="s">
        <v>87</v>
      </c>
      <c r="G36" s="68"/>
      <c r="H36" s="42"/>
      <c r="I36" s="15"/>
      <c r="J36" s="15"/>
      <c r="K36" s="15"/>
      <c r="L36" s="15"/>
      <c r="M36" s="15"/>
      <c r="N36" s="15"/>
      <c r="O36" s="15"/>
      <c r="P36" s="15"/>
      <c r="Q36" s="15"/>
      <c r="R36" s="15"/>
      <c r="S36" s="15"/>
      <c r="T36" s="15"/>
      <c r="U36" s="15"/>
    </row>
    <row r="37" spans="3:21" x14ac:dyDescent="0.3">
      <c r="C37" s="56"/>
      <c r="D37" s="107"/>
      <c r="E37" s="17">
        <f>'11 CCTV'!E100</f>
        <v>0</v>
      </c>
      <c r="F37" s="15" t="s">
        <v>83</v>
      </c>
      <c r="G37" s="68"/>
      <c r="H37" s="42"/>
      <c r="I37" s="15"/>
      <c r="J37" s="15"/>
      <c r="K37" s="15"/>
      <c r="L37" s="15"/>
      <c r="M37" s="15"/>
      <c r="N37" s="15"/>
      <c r="O37" s="15"/>
      <c r="P37" s="15"/>
      <c r="Q37" s="15"/>
      <c r="R37" s="15"/>
      <c r="S37" s="15"/>
      <c r="T37" s="15"/>
      <c r="U37" s="15"/>
    </row>
    <row r="38" spans="3:21" x14ac:dyDescent="0.3">
      <c r="C38" s="57"/>
      <c r="D38" s="15"/>
      <c r="E38" s="16"/>
      <c r="F38" s="15"/>
      <c r="G38" s="68"/>
      <c r="H38" s="42"/>
      <c r="I38" s="15"/>
      <c r="J38" s="15"/>
      <c r="K38" s="15"/>
      <c r="L38" s="15"/>
      <c r="M38" s="15"/>
      <c r="N38" s="15"/>
      <c r="O38" s="15"/>
      <c r="P38" s="15"/>
      <c r="Q38" s="15"/>
      <c r="R38" s="15"/>
      <c r="S38" s="15"/>
      <c r="T38" s="15"/>
      <c r="U38" s="15"/>
    </row>
    <row r="39" spans="3:21" ht="27" customHeight="1" x14ac:dyDescent="0.3">
      <c r="C39" s="56" t="s">
        <v>47</v>
      </c>
      <c r="D39" s="360" t="s">
        <v>88</v>
      </c>
      <c r="E39" s="360"/>
      <c r="F39" s="360"/>
      <c r="G39" s="68"/>
      <c r="H39" s="42"/>
      <c r="I39" s="15"/>
      <c r="J39" s="15"/>
      <c r="K39" s="15"/>
      <c r="L39" s="15"/>
      <c r="M39" s="15"/>
      <c r="N39" s="15"/>
      <c r="O39" s="15"/>
      <c r="P39" s="15"/>
      <c r="Q39" s="15"/>
      <c r="R39" s="15"/>
      <c r="S39" s="15"/>
      <c r="T39" s="15"/>
      <c r="U39" s="15"/>
    </row>
    <row r="40" spans="3:21" x14ac:dyDescent="0.3">
      <c r="C40" s="57"/>
      <c r="D40" s="15"/>
      <c r="E40" s="134">
        <f>PARAMETERS!E8</f>
        <v>1513782</v>
      </c>
      <c r="F40" s="15" t="s">
        <v>81</v>
      </c>
      <c r="G40" s="68"/>
      <c r="H40" s="42"/>
      <c r="I40" s="15"/>
      <c r="J40" s="15"/>
      <c r="K40" s="15"/>
      <c r="L40" s="15"/>
      <c r="M40" s="15"/>
      <c r="N40" s="15"/>
      <c r="O40" s="15"/>
      <c r="P40" s="15"/>
      <c r="Q40" s="15"/>
      <c r="R40" s="15"/>
      <c r="S40" s="15"/>
      <c r="T40" s="15"/>
      <c r="U40" s="15"/>
    </row>
    <row r="41" spans="3:21" x14ac:dyDescent="0.3">
      <c r="C41" s="57"/>
      <c r="D41" s="15"/>
      <c r="E41" s="134">
        <f>PARAMETERS!E9</f>
        <v>74284.56</v>
      </c>
      <c r="F41" s="15" t="s">
        <v>86</v>
      </c>
      <c r="G41" s="68"/>
      <c r="H41" s="42"/>
      <c r="I41" s="15"/>
      <c r="J41" s="15"/>
      <c r="K41" s="15"/>
      <c r="L41" s="15"/>
      <c r="M41" s="15"/>
      <c r="N41" s="15"/>
      <c r="O41" s="15"/>
      <c r="P41" s="15"/>
      <c r="Q41" s="15"/>
      <c r="R41" s="15"/>
      <c r="S41" s="15"/>
      <c r="T41" s="15"/>
      <c r="U41" s="15"/>
    </row>
    <row r="42" spans="3:21" x14ac:dyDescent="0.3">
      <c r="C42" s="57"/>
      <c r="D42" s="15"/>
      <c r="E42" s="134">
        <f>PARAMETERS!E10</f>
        <v>23929.200000000001</v>
      </c>
      <c r="F42" s="15" t="s">
        <v>85</v>
      </c>
      <c r="G42" s="68"/>
      <c r="H42" s="42"/>
      <c r="I42" s="15"/>
      <c r="J42" s="15"/>
      <c r="K42" s="15"/>
      <c r="L42" s="15"/>
      <c r="M42" s="15"/>
      <c r="N42" s="15"/>
      <c r="O42" s="15"/>
      <c r="P42" s="15"/>
      <c r="Q42" s="15"/>
      <c r="R42" s="15"/>
      <c r="S42" s="15"/>
      <c r="T42" s="15"/>
      <c r="U42" s="15"/>
    </row>
    <row r="43" spans="3:21" x14ac:dyDescent="0.3">
      <c r="C43" s="57"/>
      <c r="D43" s="15"/>
      <c r="E43" s="134">
        <f>PARAMETERS!E11</f>
        <v>13525.2</v>
      </c>
      <c r="F43" s="15" t="s">
        <v>87</v>
      </c>
      <c r="G43" s="68"/>
      <c r="H43" s="42"/>
      <c r="I43" s="15"/>
      <c r="J43" s="15"/>
      <c r="K43" s="15"/>
      <c r="L43" s="15"/>
      <c r="M43" s="15"/>
      <c r="N43" s="15"/>
      <c r="O43" s="15"/>
      <c r="P43" s="15"/>
      <c r="Q43" s="15"/>
      <c r="R43" s="15"/>
      <c r="S43" s="15"/>
      <c r="T43" s="15"/>
      <c r="U43" s="15"/>
    </row>
    <row r="44" spans="3:21" x14ac:dyDescent="0.3">
      <c r="C44" s="57"/>
      <c r="D44" s="15"/>
      <c r="E44" s="134">
        <f>PARAMETERS!E12</f>
        <v>9571.68</v>
      </c>
      <c r="F44" s="15" t="s">
        <v>83</v>
      </c>
      <c r="G44" s="68"/>
      <c r="H44" s="42"/>
      <c r="I44" s="15"/>
      <c r="J44" s="15"/>
      <c r="K44" s="15"/>
      <c r="L44" s="15"/>
      <c r="M44" s="15"/>
      <c r="N44" s="15"/>
      <c r="O44" s="15"/>
      <c r="P44" s="15"/>
      <c r="Q44" s="15"/>
      <c r="R44" s="15"/>
      <c r="S44" s="15"/>
      <c r="T44" s="15"/>
      <c r="U44" s="15"/>
    </row>
    <row r="45" spans="3:21" x14ac:dyDescent="0.3">
      <c r="C45" s="57"/>
      <c r="D45" s="15"/>
      <c r="E45" s="15"/>
      <c r="F45" s="15"/>
      <c r="G45" s="68"/>
      <c r="H45" s="42"/>
      <c r="I45" s="15"/>
      <c r="J45" s="15"/>
      <c r="K45" s="15"/>
      <c r="L45" s="15"/>
      <c r="M45" s="15"/>
      <c r="N45" s="15"/>
      <c r="O45" s="15"/>
      <c r="P45" s="15"/>
      <c r="Q45" s="15"/>
      <c r="R45" s="15"/>
      <c r="S45" s="15"/>
      <c r="T45" s="15"/>
      <c r="U45" s="15"/>
    </row>
    <row r="46" spans="3:21" x14ac:dyDescent="0.3">
      <c r="C46" s="56" t="s">
        <v>375</v>
      </c>
      <c r="D46" s="361" t="s">
        <v>203</v>
      </c>
      <c r="E46" s="361"/>
      <c r="F46" s="361"/>
      <c r="G46" s="68"/>
      <c r="H46" s="42"/>
      <c r="I46" s="15"/>
      <c r="J46" s="15"/>
      <c r="K46" s="15"/>
      <c r="L46" s="15"/>
      <c r="M46" s="15"/>
      <c r="N46" s="15"/>
      <c r="O46" s="15"/>
      <c r="P46" s="15"/>
      <c r="Q46" s="15"/>
      <c r="R46" s="15"/>
      <c r="S46" s="15"/>
      <c r="T46" s="15"/>
      <c r="U46" s="15"/>
    </row>
    <row r="47" spans="3:21" x14ac:dyDescent="0.3">
      <c r="C47" s="57"/>
      <c r="D47" s="15"/>
      <c r="E47" s="279">
        <f>PARAMETERS!E15</f>
        <v>31</v>
      </c>
      <c r="F47" s="15" t="s">
        <v>204</v>
      </c>
      <c r="G47" s="68"/>
      <c r="H47" s="42"/>
      <c r="I47" s="15"/>
      <c r="J47" s="15"/>
      <c r="K47" s="15"/>
      <c r="L47" s="15"/>
      <c r="M47" s="15"/>
      <c r="N47" s="15"/>
      <c r="O47" s="15"/>
      <c r="P47" s="15"/>
      <c r="Q47" s="15"/>
      <c r="R47" s="15"/>
      <c r="S47" s="15"/>
      <c r="T47" s="15"/>
      <c r="U47" s="15"/>
    </row>
    <row r="48" spans="3:21" x14ac:dyDescent="0.3">
      <c r="C48" s="57"/>
      <c r="D48" s="15"/>
      <c r="E48" s="15"/>
      <c r="F48" s="15"/>
      <c r="G48" s="68"/>
      <c r="H48" s="42"/>
      <c r="I48" s="15"/>
      <c r="J48" s="15"/>
      <c r="K48" s="15"/>
      <c r="L48" s="15"/>
      <c r="M48" s="15"/>
      <c r="N48" s="15"/>
      <c r="O48" s="15"/>
      <c r="P48" s="15"/>
      <c r="Q48" s="15"/>
      <c r="R48" s="15"/>
      <c r="S48" s="15"/>
      <c r="T48" s="15"/>
      <c r="U48" s="15"/>
    </row>
    <row r="49" spans="3:21" ht="28.8" x14ac:dyDescent="0.3">
      <c r="C49" s="152" t="s">
        <v>452</v>
      </c>
      <c r="D49" s="361" t="s">
        <v>378</v>
      </c>
      <c r="E49" s="361"/>
      <c r="F49" s="361"/>
      <c r="G49" s="68"/>
      <c r="H49" s="42"/>
      <c r="I49" s="15"/>
      <c r="J49" s="15"/>
      <c r="K49" s="15"/>
      <c r="L49" s="15"/>
      <c r="M49" s="15"/>
      <c r="N49" s="15"/>
      <c r="O49" s="15"/>
      <c r="P49" s="15"/>
      <c r="Q49" s="15"/>
      <c r="R49" s="15"/>
      <c r="S49" s="15"/>
      <c r="T49" s="15"/>
      <c r="U49" s="15"/>
    </row>
    <row r="50" spans="3:21" x14ac:dyDescent="0.3">
      <c r="C50" s="57"/>
      <c r="D50" s="15"/>
      <c r="E50" s="281">
        <f>PARAMETERS!E17</f>
        <v>20</v>
      </c>
      <c r="F50" s="15" t="s">
        <v>204</v>
      </c>
      <c r="G50" s="68"/>
      <c r="H50" s="42"/>
      <c r="I50" s="15"/>
      <c r="J50" s="15"/>
      <c r="K50" s="15"/>
      <c r="L50" s="15"/>
      <c r="M50" s="15"/>
      <c r="N50" s="15"/>
      <c r="O50" s="15"/>
      <c r="P50" s="15"/>
      <c r="Q50" s="15"/>
      <c r="R50" s="15"/>
      <c r="S50" s="15"/>
      <c r="T50" s="15"/>
      <c r="U50" s="15"/>
    </row>
    <row r="51" spans="3:21" ht="28.8" x14ac:dyDescent="0.3">
      <c r="C51" s="150" t="s">
        <v>453</v>
      </c>
      <c r="D51" s="361" t="s">
        <v>377</v>
      </c>
      <c r="E51" s="361"/>
      <c r="F51" s="361"/>
      <c r="G51" s="68"/>
      <c r="H51" s="42"/>
      <c r="I51" s="15"/>
      <c r="J51" s="15"/>
      <c r="K51" s="15"/>
      <c r="L51" s="15"/>
      <c r="M51" s="15"/>
      <c r="N51" s="15"/>
      <c r="O51" s="15"/>
      <c r="P51" s="15"/>
      <c r="Q51" s="15"/>
      <c r="R51" s="15"/>
      <c r="S51" s="15"/>
      <c r="T51" s="15"/>
      <c r="U51" s="15"/>
    </row>
    <row r="52" spans="3:21" x14ac:dyDescent="0.3">
      <c r="C52" s="57"/>
      <c r="D52" s="15"/>
      <c r="E52" s="281">
        <f>PARAMETERS!E18</f>
        <v>40</v>
      </c>
      <c r="F52" s="15" t="s">
        <v>204</v>
      </c>
      <c r="G52" s="68"/>
      <c r="H52" s="42" t="s">
        <v>381</v>
      </c>
      <c r="I52" s="15"/>
      <c r="J52" s="15"/>
      <c r="K52" s="15"/>
      <c r="L52" s="15"/>
      <c r="M52" s="15"/>
      <c r="N52" s="15"/>
      <c r="O52" s="15"/>
      <c r="P52" s="15"/>
      <c r="Q52" s="15"/>
      <c r="R52" s="15"/>
      <c r="S52" s="15"/>
      <c r="T52" s="15"/>
      <c r="U52" s="15"/>
    </row>
    <row r="53" spans="3:21" x14ac:dyDescent="0.3">
      <c r="C53" s="57"/>
      <c r="D53" s="15"/>
      <c r="E53" s="15"/>
      <c r="F53" s="15"/>
      <c r="G53" s="68"/>
      <c r="H53" s="42"/>
      <c r="I53" s="15"/>
      <c r="J53" s="15"/>
      <c r="K53" s="15"/>
      <c r="L53" s="15"/>
      <c r="M53" s="15"/>
      <c r="N53" s="15"/>
      <c r="O53" s="15"/>
      <c r="P53" s="15"/>
      <c r="Q53" s="15"/>
      <c r="R53" s="15"/>
      <c r="S53" s="15"/>
      <c r="T53" s="15"/>
      <c r="U53" s="15"/>
    </row>
    <row r="54" spans="3:21" ht="32.4" customHeight="1" x14ac:dyDescent="0.3">
      <c r="C54" s="56" t="s">
        <v>379</v>
      </c>
      <c r="D54" s="360" t="s">
        <v>205</v>
      </c>
      <c r="E54" s="360"/>
      <c r="F54" s="360"/>
      <c r="G54" s="68"/>
      <c r="H54" s="42"/>
    </row>
    <row r="55" spans="3:21" x14ac:dyDescent="0.3">
      <c r="C55" s="57"/>
      <c r="D55" s="15"/>
      <c r="E55" s="136">
        <f>E33*(1-($E$47/100))</f>
        <v>0</v>
      </c>
      <c r="F55" s="15" t="s">
        <v>81</v>
      </c>
      <c r="G55" s="75"/>
    </row>
    <row r="56" spans="3:21" x14ac:dyDescent="0.3">
      <c r="C56" s="57"/>
      <c r="D56" s="15"/>
      <c r="E56" s="136">
        <f t="shared" ref="E56:E59" si="0">E34*(1-($E$47/100))</f>
        <v>0</v>
      </c>
      <c r="F56" s="15" t="s">
        <v>86</v>
      </c>
      <c r="G56" s="75"/>
    </row>
    <row r="57" spans="3:21" x14ac:dyDescent="0.3">
      <c r="C57" s="57"/>
      <c r="D57" s="15"/>
      <c r="E57" s="136">
        <f t="shared" si="0"/>
        <v>0</v>
      </c>
      <c r="F57" s="15" t="s">
        <v>85</v>
      </c>
      <c r="G57" s="75"/>
    </row>
    <row r="58" spans="3:21" x14ac:dyDescent="0.3">
      <c r="C58" s="57"/>
      <c r="D58" s="15"/>
      <c r="E58" s="136">
        <f t="shared" si="0"/>
        <v>0</v>
      </c>
      <c r="F58" s="15" t="s">
        <v>87</v>
      </c>
      <c r="G58" s="75"/>
    </row>
    <row r="59" spans="3:21" x14ac:dyDescent="0.3">
      <c r="C59" s="57"/>
      <c r="D59" s="15"/>
      <c r="E59" s="136">
        <f t="shared" si="0"/>
        <v>0</v>
      </c>
      <c r="F59" s="15" t="s">
        <v>83</v>
      </c>
      <c r="G59" s="75"/>
    </row>
    <row r="60" spans="3:21" x14ac:dyDescent="0.3">
      <c r="C60" s="57"/>
      <c r="D60" s="15"/>
      <c r="E60" s="137"/>
      <c r="F60" s="15"/>
      <c r="G60" s="75"/>
    </row>
    <row r="61" spans="3:21" x14ac:dyDescent="0.3">
      <c r="C61" s="56" t="s">
        <v>380</v>
      </c>
      <c r="D61" s="361" t="s">
        <v>92</v>
      </c>
      <c r="E61" s="361"/>
      <c r="F61" s="361"/>
      <c r="G61" s="75"/>
    </row>
    <row r="62" spans="3:21" x14ac:dyDescent="0.3">
      <c r="C62" s="57"/>
      <c r="D62" s="15"/>
      <c r="E62" s="138">
        <f>(E33-E55)*E40</f>
        <v>0</v>
      </c>
      <c r="F62" s="15" t="s">
        <v>81</v>
      </c>
      <c r="G62" s="75"/>
    </row>
    <row r="63" spans="3:21" x14ac:dyDescent="0.3">
      <c r="C63" s="57"/>
      <c r="D63" s="15"/>
      <c r="E63" s="138">
        <f t="shared" ref="E63:E66" si="1">(E34-E56)*E41</f>
        <v>0</v>
      </c>
      <c r="F63" s="15" t="s">
        <v>86</v>
      </c>
      <c r="G63" s="75"/>
    </row>
    <row r="64" spans="3:21" x14ac:dyDescent="0.3">
      <c r="C64" s="57"/>
      <c r="D64" s="15"/>
      <c r="E64" s="138">
        <f t="shared" si="1"/>
        <v>0</v>
      </c>
      <c r="F64" s="15" t="s">
        <v>85</v>
      </c>
      <c r="G64" s="75"/>
    </row>
    <row r="65" spans="3:11" x14ac:dyDescent="0.3">
      <c r="C65" s="57"/>
      <c r="D65" s="15"/>
      <c r="E65" s="138">
        <f t="shared" si="1"/>
        <v>0</v>
      </c>
      <c r="F65" s="15" t="s">
        <v>87</v>
      </c>
      <c r="G65" s="75"/>
    </row>
    <row r="66" spans="3:11" x14ac:dyDescent="0.3">
      <c r="C66" s="57"/>
      <c r="D66" s="15"/>
      <c r="E66" s="138">
        <f t="shared" si="1"/>
        <v>0</v>
      </c>
      <c r="F66" s="15" t="s">
        <v>83</v>
      </c>
      <c r="G66" s="75"/>
    </row>
    <row r="67" spans="3:11" x14ac:dyDescent="0.3">
      <c r="C67" s="57"/>
      <c r="D67" s="15"/>
      <c r="E67" s="15"/>
      <c r="F67" s="15"/>
      <c r="G67" s="75"/>
    </row>
    <row r="68" spans="3:11" ht="28.8" x14ac:dyDescent="0.3">
      <c r="C68" s="152" t="s">
        <v>454</v>
      </c>
      <c r="D68" s="361" t="s">
        <v>92</v>
      </c>
      <c r="E68" s="361"/>
      <c r="F68" s="361"/>
      <c r="G68" s="75"/>
    </row>
    <row r="69" spans="3:11" x14ac:dyDescent="0.3">
      <c r="C69" s="57"/>
      <c r="D69" s="15"/>
      <c r="E69" s="139">
        <f>E33*($E$50/100)*($E$52/100)*E40</f>
        <v>0</v>
      </c>
      <c r="F69" s="15" t="s">
        <v>81</v>
      </c>
      <c r="G69" s="75"/>
    </row>
    <row r="70" spans="3:11" x14ac:dyDescent="0.3">
      <c r="C70" s="57"/>
      <c r="D70" s="15"/>
      <c r="E70" s="139">
        <f t="shared" ref="E70:E73" si="2">E34*($E$50/100)*($E$52/100)*E41</f>
        <v>0</v>
      </c>
      <c r="F70" s="15" t="s">
        <v>86</v>
      </c>
      <c r="G70" s="75"/>
    </row>
    <row r="71" spans="3:11" x14ac:dyDescent="0.3">
      <c r="C71" s="57"/>
      <c r="D71" s="15"/>
      <c r="E71" s="139">
        <f t="shared" si="2"/>
        <v>0</v>
      </c>
      <c r="F71" s="15" t="s">
        <v>85</v>
      </c>
      <c r="G71" s="75"/>
    </row>
    <row r="72" spans="3:11" x14ac:dyDescent="0.3">
      <c r="C72" s="57"/>
      <c r="D72" s="15"/>
      <c r="E72" s="139">
        <f t="shared" si="2"/>
        <v>0</v>
      </c>
      <c r="F72" s="15" t="s">
        <v>87</v>
      </c>
      <c r="G72" s="75"/>
    </row>
    <row r="73" spans="3:11" x14ac:dyDescent="0.3">
      <c r="C73" s="57"/>
      <c r="D73" s="15"/>
      <c r="E73" s="139">
        <f t="shared" si="2"/>
        <v>0</v>
      </c>
      <c r="F73" s="15" t="s">
        <v>83</v>
      </c>
      <c r="G73" s="75"/>
    </row>
    <row r="74" spans="3:11" ht="15" thickBot="1" x14ac:dyDescent="0.35">
      <c r="C74" s="57"/>
      <c r="D74" s="15"/>
      <c r="E74" s="15"/>
      <c r="F74" s="15"/>
      <c r="G74" s="75"/>
    </row>
    <row r="75" spans="3:11" ht="15.6" thickTop="1" thickBot="1" x14ac:dyDescent="0.35">
      <c r="C75" s="57"/>
      <c r="D75" s="15"/>
      <c r="E75" s="140" t="s">
        <v>376</v>
      </c>
      <c r="F75" s="141">
        <f>IF(AND(SUM(E62:E66)&gt;0,NOT(F22="NOT WARRANTED")),ROUND(SUM(E62:E66),-3),0)</f>
        <v>0</v>
      </c>
      <c r="G75" s="75"/>
      <c r="K75" s="102"/>
    </row>
    <row r="76" spans="3:11" ht="15.6" thickTop="1" thickBot="1" x14ac:dyDescent="0.35">
      <c r="C76" s="58"/>
      <c r="D76" s="7"/>
      <c r="E76" s="140" t="s">
        <v>487</v>
      </c>
      <c r="F76" s="141">
        <f>IF(AND(SUM(E69:E73)&gt;0,OR(F23="WARRANTED",F24="WARRANTED",F27="WARRANTED")),ROUND(SUM(E69:E73),-3),IF(AND(SUM(E69:E73)&gt;0,OR(F23="PARTIALLY WARRANTED",F24="PARTIALLY WARRANTED",F27="PARTIALLY WARRANTED")),ROUND(SUM(E69:E73)*0.25,-3),0))</f>
        <v>0</v>
      </c>
      <c r="G76" s="75"/>
    </row>
    <row r="77" spans="3:11" ht="15" thickTop="1" x14ac:dyDescent="0.3">
      <c r="C77" s="60"/>
      <c r="D77" s="132"/>
      <c r="E77" s="142"/>
      <c r="F77" s="142"/>
      <c r="G77" s="99"/>
    </row>
    <row r="78" spans="3:11" x14ac:dyDescent="0.3">
      <c r="C78" s="7"/>
      <c r="D78" s="7"/>
      <c r="E78" s="7"/>
      <c r="F78" s="7"/>
    </row>
    <row r="79" spans="3:11" x14ac:dyDescent="0.3">
      <c r="C79" s="55" t="s">
        <v>370</v>
      </c>
      <c r="D79" s="82"/>
      <c r="E79" s="82"/>
      <c r="F79" s="82"/>
      <c r="G79" s="100"/>
      <c r="H79" s="204"/>
    </row>
    <row r="80" spans="3:11" ht="15" customHeight="1" x14ac:dyDescent="0.3">
      <c r="C80" s="58"/>
      <c r="D80" s="7"/>
      <c r="E80" s="7"/>
      <c r="F80" s="7"/>
      <c r="G80" s="75"/>
      <c r="H80" s="42"/>
    </row>
    <row r="81" spans="3:15" x14ac:dyDescent="0.3">
      <c r="C81" s="143" t="s">
        <v>386</v>
      </c>
      <c r="D81" s="426" t="s">
        <v>403</v>
      </c>
      <c r="E81" s="426"/>
      <c r="F81" s="426"/>
      <c r="G81" s="100"/>
      <c r="K81" s="101"/>
    </row>
    <row r="82" spans="3:15" x14ac:dyDescent="0.3">
      <c r="C82" s="57"/>
      <c r="D82" s="7"/>
      <c r="E82" s="49">
        <f>'11 CCTV'!F108</f>
        <v>0</v>
      </c>
      <c r="F82" s="7" t="s">
        <v>101</v>
      </c>
      <c r="G82" s="75"/>
    </row>
    <row r="83" spans="3:15" x14ac:dyDescent="0.3">
      <c r="C83" s="57"/>
      <c r="D83" s="7"/>
      <c r="E83" s="144"/>
      <c r="F83" s="7"/>
      <c r="G83" s="75"/>
    </row>
    <row r="84" spans="3:15" ht="14.4" customHeight="1" x14ac:dyDescent="0.3">
      <c r="C84" s="57" t="s">
        <v>419</v>
      </c>
      <c r="D84" s="317" t="s">
        <v>444</v>
      </c>
      <c r="E84" s="317"/>
      <c r="F84" s="317"/>
      <c r="G84" s="430"/>
    </row>
    <row r="85" spans="3:15" x14ac:dyDescent="0.3">
      <c r="C85" s="57"/>
      <c r="D85" s="7"/>
      <c r="E85" s="49">
        <f>'11 CCTV'!F111</f>
        <v>0</v>
      </c>
      <c r="F85" s="7"/>
      <c r="G85" s="75"/>
    </row>
    <row r="86" spans="3:15" x14ac:dyDescent="0.3">
      <c r="C86" s="57"/>
      <c r="D86" s="7"/>
      <c r="E86" s="144"/>
      <c r="F86" s="7"/>
      <c r="G86" s="75"/>
      <c r="I86" s="42"/>
      <c r="J86" s="42"/>
      <c r="K86" s="42"/>
      <c r="L86" s="42"/>
      <c r="M86" s="42"/>
      <c r="N86" s="42"/>
      <c r="O86" s="42"/>
    </row>
    <row r="87" spans="3:15" x14ac:dyDescent="0.3">
      <c r="C87" s="57" t="s">
        <v>421</v>
      </c>
      <c r="D87" s="7" t="s">
        <v>420</v>
      </c>
      <c r="E87" s="145">
        <f>IFERROR(VLOOKUP(E85,'drop-downs'!$AR$2:$AS$5,2,0),0)</f>
        <v>0</v>
      </c>
      <c r="F87" s="7" t="s">
        <v>414</v>
      </c>
      <c r="G87" s="75"/>
      <c r="I87" s="42"/>
      <c r="J87" s="42"/>
      <c r="K87" s="42"/>
      <c r="L87" s="42"/>
      <c r="M87" s="42"/>
      <c r="N87" s="42"/>
      <c r="O87" s="42"/>
    </row>
    <row r="88" spans="3:15" x14ac:dyDescent="0.3">
      <c r="C88" s="57"/>
      <c r="D88" s="7"/>
      <c r="E88" s="144"/>
      <c r="F88" s="7"/>
      <c r="G88" s="75"/>
      <c r="I88" s="42"/>
      <c r="J88" s="42"/>
      <c r="K88" s="42"/>
      <c r="L88" s="42"/>
      <c r="M88" s="42"/>
      <c r="N88" s="42"/>
      <c r="O88" s="42"/>
    </row>
    <row r="89" spans="3:15" x14ac:dyDescent="0.3">
      <c r="C89" s="56" t="s">
        <v>422</v>
      </c>
      <c r="D89" s="7" t="s">
        <v>448</v>
      </c>
      <c r="E89" s="146">
        <f>PARAMETERS!J11</f>
        <v>27.2</v>
      </c>
      <c r="F89" s="7" t="s">
        <v>207</v>
      </c>
      <c r="G89" s="75"/>
      <c r="I89" s="42"/>
      <c r="J89" s="42"/>
      <c r="K89" s="42"/>
      <c r="L89" s="42"/>
      <c r="M89" s="42"/>
      <c r="N89" s="42"/>
      <c r="O89" s="42"/>
    </row>
    <row r="90" spans="3:15" x14ac:dyDescent="0.3">
      <c r="C90" s="57"/>
      <c r="D90" s="7"/>
      <c r="E90" s="115"/>
      <c r="G90" s="75"/>
      <c r="I90" s="42"/>
      <c r="J90" s="42"/>
      <c r="K90" s="42"/>
      <c r="L90" s="42"/>
      <c r="M90" s="42"/>
      <c r="N90" s="42"/>
      <c r="O90" s="42"/>
    </row>
    <row r="91" spans="3:15" x14ac:dyDescent="0.3">
      <c r="C91" s="57" t="s">
        <v>423</v>
      </c>
      <c r="D91" s="7" t="s">
        <v>433</v>
      </c>
      <c r="E91" s="145">
        <f>E87-E89/100*E87</f>
        <v>0</v>
      </c>
      <c r="F91" s="7" t="s">
        <v>414</v>
      </c>
      <c r="G91" s="75"/>
      <c r="I91" s="42"/>
      <c r="J91" s="42"/>
      <c r="K91" s="42"/>
      <c r="L91" s="42"/>
      <c r="M91" s="42"/>
      <c r="N91" s="42"/>
      <c r="O91" s="42"/>
    </row>
    <row r="92" spans="3:15" x14ac:dyDescent="0.3">
      <c r="C92" s="57"/>
      <c r="D92" s="7"/>
      <c r="E92" s="144"/>
      <c r="F92" s="7"/>
      <c r="G92" s="75"/>
      <c r="I92" s="42"/>
      <c r="J92" s="42"/>
      <c r="K92" s="42"/>
      <c r="L92" s="42"/>
      <c r="M92" s="42"/>
      <c r="N92" s="42"/>
      <c r="O92" s="42"/>
    </row>
    <row r="93" spans="3:15" x14ac:dyDescent="0.3">
      <c r="C93" s="57" t="s">
        <v>424</v>
      </c>
      <c r="D93" s="7" t="s">
        <v>410</v>
      </c>
      <c r="E93" s="145">
        <f>E87-E91</f>
        <v>0</v>
      </c>
      <c r="F93" s="7" t="s">
        <v>414</v>
      </c>
      <c r="G93" s="75"/>
      <c r="I93" s="42"/>
      <c r="J93" s="42"/>
      <c r="K93" s="42"/>
      <c r="L93" s="42"/>
      <c r="M93" s="42"/>
      <c r="N93" s="42"/>
      <c r="O93" s="42"/>
    </row>
    <row r="94" spans="3:15" x14ac:dyDescent="0.3">
      <c r="C94" s="57"/>
      <c r="D94" s="7"/>
      <c r="E94" s="144"/>
      <c r="F94" s="7"/>
      <c r="G94" s="75"/>
      <c r="I94" s="42"/>
      <c r="J94" s="42"/>
      <c r="K94" s="42"/>
      <c r="L94" s="42"/>
      <c r="M94" s="42"/>
      <c r="N94" s="42"/>
      <c r="O94" s="42"/>
    </row>
    <row r="95" spans="3:15" x14ac:dyDescent="0.3">
      <c r="C95" s="57" t="s">
        <v>425</v>
      </c>
      <c r="D95" s="7" t="s">
        <v>432</v>
      </c>
      <c r="E95" s="145">
        <f>0.1*E82</f>
        <v>0</v>
      </c>
      <c r="F95" s="7" t="s">
        <v>404</v>
      </c>
      <c r="G95" s="75"/>
    </row>
    <row r="96" spans="3:15" x14ac:dyDescent="0.3">
      <c r="C96" s="57"/>
      <c r="D96" s="129" t="s">
        <v>408</v>
      </c>
      <c r="E96" s="144"/>
      <c r="F96" s="7"/>
      <c r="G96" s="75"/>
    </row>
    <row r="97" spans="3:8" x14ac:dyDescent="0.3">
      <c r="C97" s="57"/>
      <c r="D97" s="7"/>
      <c r="E97" s="144"/>
      <c r="F97" s="7"/>
      <c r="G97" s="75"/>
    </row>
    <row r="98" spans="3:8" x14ac:dyDescent="0.3">
      <c r="C98" s="56" t="s">
        <v>426</v>
      </c>
      <c r="D98" s="7" t="s">
        <v>102</v>
      </c>
      <c r="E98" s="135">
        <f>PARAMETERS!J8</f>
        <v>1.59</v>
      </c>
      <c r="F98" s="7" t="s">
        <v>103</v>
      </c>
      <c r="G98" s="75"/>
    </row>
    <row r="99" spans="3:8" x14ac:dyDescent="0.3">
      <c r="C99" s="57"/>
      <c r="D99" s="7"/>
      <c r="E99" s="7"/>
      <c r="F99" s="7"/>
      <c r="G99" s="75"/>
    </row>
    <row r="100" spans="3:8" ht="43.95" customHeight="1" x14ac:dyDescent="0.3">
      <c r="C100" s="56" t="s">
        <v>427</v>
      </c>
      <c r="D100" s="317" t="s">
        <v>434</v>
      </c>
      <c r="E100" s="317"/>
      <c r="F100" s="106"/>
      <c r="G100" s="75"/>
    </row>
    <row r="101" spans="3:8" x14ac:dyDescent="0.3">
      <c r="C101" s="57"/>
      <c r="D101" s="7"/>
      <c r="E101" s="147">
        <f>E95*5*52*E93/3600</f>
        <v>0</v>
      </c>
      <c r="F101" s="7" t="s">
        <v>435</v>
      </c>
      <c r="G101" s="75"/>
      <c r="H101" s="4" t="s">
        <v>436</v>
      </c>
    </row>
    <row r="102" spans="3:8" x14ac:dyDescent="0.3">
      <c r="C102" s="57"/>
      <c r="D102" s="7"/>
      <c r="E102" s="7"/>
      <c r="F102" s="7"/>
      <c r="G102" s="75"/>
    </row>
    <row r="103" spans="3:8" x14ac:dyDescent="0.3">
      <c r="C103" s="56" t="s">
        <v>428</v>
      </c>
      <c r="D103" s="7" t="s">
        <v>341</v>
      </c>
      <c r="E103" s="148">
        <f>PARAMETERS!J9</f>
        <v>15.25</v>
      </c>
      <c r="F103" s="7" t="s">
        <v>348</v>
      </c>
      <c r="G103" s="75"/>
    </row>
    <row r="104" spans="3:8" ht="15" thickBot="1" x14ac:dyDescent="0.35">
      <c r="C104" s="56"/>
      <c r="D104" s="7"/>
      <c r="E104" s="7"/>
      <c r="F104" s="7"/>
      <c r="G104" s="75"/>
    </row>
    <row r="105" spans="3:8" ht="15.6" thickTop="1" thickBot="1" x14ac:dyDescent="0.35">
      <c r="C105" s="56"/>
      <c r="D105" s="7"/>
      <c r="E105" s="140" t="s">
        <v>387</v>
      </c>
      <c r="F105" s="141">
        <f>IF(F22="WARRANTED",ROUND((E103)*E101*E98,-3),0)</f>
        <v>0</v>
      </c>
      <c r="G105" s="75"/>
    </row>
    <row r="106" spans="3:8" ht="15" thickTop="1" x14ac:dyDescent="0.3">
      <c r="C106" s="149"/>
      <c r="D106" s="132"/>
      <c r="E106" s="132"/>
      <c r="F106" s="132"/>
      <c r="G106" s="99"/>
    </row>
    <row r="107" spans="3:8" x14ac:dyDescent="0.3">
      <c r="C107" s="143"/>
      <c r="D107" s="82"/>
      <c r="E107" s="82"/>
      <c r="F107" s="82"/>
      <c r="G107" s="100"/>
    </row>
    <row r="108" spans="3:8" ht="43.2" x14ac:dyDescent="0.3">
      <c r="C108" s="150" t="s">
        <v>455</v>
      </c>
      <c r="D108" s="317" t="s">
        <v>389</v>
      </c>
      <c r="E108" s="317"/>
      <c r="F108" s="317"/>
      <c r="G108" s="430"/>
    </row>
    <row r="109" spans="3:8" x14ac:dyDescent="0.3">
      <c r="C109" s="57"/>
      <c r="D109" s="7"/>
      <c r="E109" s="20"/>
      <c r="F109" s="52">
        <f>'11 CCTV'!F114</f>
        <v>0</v>
      </c>
      <c r="G109" s="151" t="s">
        <v>333</v>
      </c>
    </row>
    <row r="110" spans="3:8" x14ac:dyDescent="0.3">
      <c r="C110" s="57"/>
      <c r="D110" s="7"/>
      <c r="E110" s="20"/>
      <c r="F110" s="20"/>
      <c r="G110" s="104"/>
    </row>
    <row r="111" spans="3:8" ht="43.2" x14ac:dyDescent="0.3">
      <c r="C111" s="150" t="s">
        <v>456</v>
      </c>
      <c r="D111" s="317" t="s">
        <v>388</v>
      </c>
      <c r="E111" s="317"/>
      <c r="F111" s="317"/>
      <c r="G111" s="430"/>
    </row>
    <row r="112" spans="3:8" x14ac:dyDescent="0.3">
      <c r="C112" s="57"/>
      <c r="D112" s="106"/>
      <c r="E112" s="106"/>
      <c r="F112" s="52">
        <f>'11 CCTV'!F117</f>
        <v>0</v>
      </c>
      <c r="G112" s="151" t="s">
        <v>332</v>
      </c>
    </row>
    <row r="113" spans="3:8" x14ac:dyDescent="0.3">
      <c r="C113" s="57"/>
      <c r="D113" s="106"/>
      <c r="E113" s="106"/>
      <c r="F113" s="113"/>
      <c r="G113" s="151"/>
    </row>
    <row r="114" spans="3:8" ht="43.2" x14ac:dyDescent="0.3">
      <c r="C114" s="150" t="s">
        <v>457</v>
      </c>
      <c r="D114" s="360" t="s">
        <v>390</v>
      </c>
      <c r="E114" s="360"/>
      <c r="F114" s="360"/>
      <c r="G114" s="443"/>
    </row>
    <row r="115" spans="3:8" x14ac:dyDescent="0.3">
      <c r="C115" s="57"/>
      <c r="D115" s="106"/>
      <c r="E115" s="106"/>
      <c r="F115" s="49">
        <f>'11 CCTV'!F120</f>
        <v>0</v>
      </c>
      <c r="G115" s="151" t="s">
        <v>335</v>
      </c>
    </row>
    <row r="116" spans="3:8" x14ac:dyDescent="0.3">
      <c r="C116" s="57"/>
      <c r="D116" s="106"/>
      <c r="E116" s="106"/>
      <c r="F116" s="106"/>
      <c r="G116" s="151"/>
    </row>
    <row r="117" spans="3:8" ht="43.2" x14ac:dyDescent="0.3">
      <c r="C117" s="152" t="s">
        <v>458</v>
      </c>
      <c r="D117" s="7" t="s">
        <v>392</v>
      </c>
      <c r="E117" s="7"/>
      <c r="F117" s="7"/>
      <c r="G117" s="75"/>
    </row>
    <row r="118" spans="3:8" x14ac:dyDescent="0.3">
      <c r="C118" s="56"/>
      <c r="D118" s="7"/>
      <c r="E118" s="153">
        <f>PARAMETERS!J13</f>
        <v>37.25</v>
      </c>
      <c r="F118" s="7" t="s">
        <v>207</v>
      </c>
      <c r="G118" s="75"/>
    </row>
    <row r="119" spans="3:8" x14ac:dyDescent="0.3">
      <c r="C119" s="56"/>
      <c r="D119" s="7"/>
      <c r="E119" s="7"/>
      <c r="F119" s="7"/>
      <c r="G119" s="75"/>
    </row>
    <row r="120" spans="3:8" ht="43.2" x14ac:dyDescent="0.3">
      <c r="C120" s="152" t="s">
        <v>459</v>
      </c>
      <c r="D120" s="7" t="s">
        <v>394</v>
      </c>
      <c r="E120" s="7"/>
      <c r="F120" s="7"/>
      <c r="G120" s="75"/>
    </row>
    <row r="121" spans="3:8" x14ac:dyDescent="0.3">
      <c r="C121" s="56"/>
      <c r="D121" s="7"/>
      <c r="E121" s="147">
        <f>F112*(E118/100)</f>
        <v>0</v>
      </c>
      <c r="F121" s="7" t="s">
        <v>393</v>
      </c>
      <c r="G121" s="75"/>
    </row>
    <row r="122" spans="3:8" x14ac:dyDescent="0.3">
      <c r="C122" s="56"/>
      <c r="D122" s="7"/>
      <c r="E122" s="7"/>
      <c r="F122" s="7"/>
      <c r="G122" s="75"/>
    </row>
    <row r="123" spans="3:8" ht="43.2" x14ac:dyDescent="0.3">
      <c r="C123" s="150" t="s">
        <v>460</v>
      </c>
      <c r="D123" s="317" t="s">
        <v>391</v>
      </c>
      <c r="E123" s="317"/>
      <c r="F123" s="317"/>
      <c r="G123" s="430"/>
      <c r="H123" s="42" t="s">
        <v>350</v>
      </c>
    </row>
    <row r="124" spans="3:8" x14ac:dyDescent="0.3">
      <c r="C124" s="56"/>
      <c r="D124" s="106"/>
      <c r="E124" s="154">
        <f>(E121/60)*F115*0.8/17</f>
        <v>0</v>
      </c>
      <c r="F124" s="7" t="s">
        <v>395</v>
      </c>
      <c r="G124" s="75"/>
    </row>
    <row r="125" spans="3:8" x14ac:dyDescent="0.3">
      <c r="C125" s="56"/>
      <c r="D125" s="7"/>
      <c r="E125" s="7"/>
      <c r="F125" s="7"/>
      <c r="G125" s="75"/>
    </row>
    <row r="126" spans="3:8" ht="43.2" x14ac:dyDescent="0.3">
      <c r="C126" s="152" t="s">
        <v>461</v>
      </c>
      <c r="D126" s="19" t="s">
        <v>102</v>
      </c>
      <c r="E126" s="135">
        <f>PARAMETERS!J8</f>
        <v>1.59</v>
      </c>
      <c r="F126" s="7" t="s">
        <v>103</v>
      </c>
      <c r="G126" s="75"/>
    </row>
    <row r="127" spans="3:8" x14ac:dyDescent="0.3">
      <c r="C127" s="56"/>
      <c r="D127" s="7"/>
      <c r="E127" s="7"/>
      <c r="F127" s="7"/>
      <c r="G127" s="75"/>
    </row>
    <row r="128" spans="3:8" ht="43.2" x14ac:dyDescent="0.3">
      <c r="C128" s="152" t="s">
        <v>462</v>
      </c>
      <c r="D128" s="7" t="s">
        <v>431</v>
      </c>
      <c r="E128" s="7"/>
      <c r="F128" s="7"/>
      <c r="G128" s="75"/>
    </row>
    <row r="129" spans="1:11" x14ac:dyDescent="0.3">
      <c r="C129" s="56"/>
      <c r="D129" s="7"/>
      <c r="E129" s="147">
        <f>(E124*E121*F109)/60</f>
        <v>0</v>
      </c>
      <c r="F129" s="7" t="s">
        <v>106</v>
      </c>
      <c r="G129" s="75"/>
    </row>
    <row r="130" spans="1:11" x14ac:dyDescent="0.3">
      <c r="C130" s="56"/>
      <c r="D130" s="7"/>
      <c r="E130" s="7"/>
      <c r="F130" s="7"/>
      <c r="G130" s="75"/>
    </row>
    <row r="131" spans="1:11" ht="43.2" x14ac:dyDescent="0.3">
      <c r="C131" s="152" t="s">
        <v>463</v>
      </c>
      <c r="D131" s="19" t="s">
        <v>341</v>
      </c>
      <c r="E131" s="148">
        <f>PARAMETERS!J9</f>
        <v>15.25</v>
      </c>
      <c r="F131" s="7" t="s">
        <v>348</v>
      </c>
      <c r="G131" s="75"/>
    </row>
    <row r="132" spans="1:11" ht="15" thickBot="1" x14ac:dyDescent="0.35">
      <c r="C132" s="152"/>
      <c r="D132" s="19"/>
      <c r="E132" s="19"/>
      <c r="F132" s="7"/>
      <c r="G132" s="75"/>
    </row>
    <row r="133" spans="1:11" ht="15.6" thickTop="1" thickBot="1" x14ac:dyDescent="0.35">
      <c r="C133" s="152"/>
      <c r="D133" s="19"/>
      <c r="E133" s="140" t="s">
        <v>464</v>
      </c>
      <c r="F133" s="141">
        <f>IF(OR(F23="WARRANTED",F24="WARRANTED",F25="WARRANTED",F27="WARRANTED"),ROUND(E129*E131*E126,-3),IF(OR(F23="PARTIALLY WARRANTED",F24="PARTIALLY WARRANTED",F25="PARTIALLY WARRANTED",F27="PARTIALLY WARRANTED"), ROUND(E129*E131*E126*0.25,-3),0))</f>
        <v>0</v>
      </c>
      <c r="G133" s="75"/>
    </row>
    <row r="134" spans="1:11" ht="15" thickTop="1" x14ac:dyDescent="0.3">
      <c r="C134" s="149"/>
      <c r="D134" s="132"/>
      <c r="E134" s="132"/>
      <c r="F134" s="132"/>
      <c r="G134" s="99"/>
    </row>
    <row r="135" spans="1:11" x14ac:dyDescent="0.3">
      <c r="C135" s="56"/>
      <c r="D135" s="7"/>
      <c r="E135" s="7"/>
      <c r="F135" s="7"/>
      <c r="G135" s="75"/>
    </row>
    <row r="136" spans="1:11" ht="15" thickBot="1" x14ac:dyDescent="0.35">
      <c r="C136" s="56"/>
      <c r="D136" s="7"/>
      <c r="E136" s="7"/>
      <c r="F136" s="7"/>
      <c r="G136" s="75"/>
    </row>
    <row r="137" spans="1:11" ht="15.6" thickTop="1" thickBot="1" x14ac:dyDescent="0.35">
      <c r="C137" s="56"/>
      <c r="D137" s="7"/>
      <c r="E137" s="140" t="s">
        <v>387</v>
      </c>
      <c r="F137" s="141">
        <f>F105</f>
        <v>0</v>
      </c>
      <c r="G137" s="75"/>
      <c r="K137" s="102"/>
    </row>
    <row r="138" spans="1:11" ht="15.6" thickTop="1" thickBot="1" x14ac:dyDescent="0.35">
      <c r="C138" s="56"/>
      <c r="D138" s="7"/>
      <c r="E138" s="140" t="s">
        <v>464</v>
      </c>
      <c r="F138" s="141">
        <f>F133</f>
        <v>0</v>
      </c>
      <c r="G138" s="75"/>
      <c r="K138" s="102"/>
    </row>
    <row r="139" spans="1:11" ht="15" thickTop="1" x14ac:dyDescent="0.3">
      <c r="C139" s="60"/>
      <c r="D139" s="132"/>
      <c r="E139" s="132"/>
      <c r="F139" s="132"/>
      <c r="G139" s="99"/>
    </row>
    <row r="140" spans="1:11" x14ac:dyDescent="0.3">
      <c r="C140" s="132"/>
      <c r="D140" s="7"/>
      <c r="E140" s="7"/>
      <c r="F140" s="7"/>
    </row>
    <row r="141" spans="1:11" x14ac:dyDescent="0.3">
      <c r="A141" s="7"/>
      <c r="C141" s="55" t="s">
        <v>369</v>
      </c>
      <c r="D141" s="82"/>
      <c r="E141" s="82"/>
      <c r="F141" s="82"/>
      <c r="G141" s="100"/>
    </row>
    <row r="142" spans="1:11" x14ac:dyDescent="0.3">
      <c r="A142" s="7"/>
      <c r="C142" s="58"/>
      <c r="D142" s="7"/>
      <c r="E142" s="7"/>
      <c r="F142" s="7"/>
      <c r="G142" s="75"/>
    </row>
    <row r="143" spans="1:11" ht="62.25" customHeight="1" x14ac:dyDescent="0.3">
      <c r="A143" s="7"/>
      <c r="C143" s="56" t="s">
        <v>25</v>
      </c>
      <c r="D143" s="317" t="s">
        <v>196</v>
      </c>
      <c r="E143" s="317"/>
      <c r="F143" s="317"/>
      <c r="G143" s="75"/>
    </row>
    <row r="144" spans="1:11" x14ac:dyDescent="0.3">
      <c r="A144" s="7"/>
      <c r="C144" s="57"/>
      <c r="D144" s="15"/>
      <c r="E144" s="109">
        <f>'11 CCTV'!E128:F128</f>
        <v>0</v>
      </c>
      <c r="F144" s="110"/>
      <c r="G144" s="75"/>
    </row>
    <row r="145" spans="1:7" ht="45" customHeight="1" x14ac:dyDescent="0.3">
      <c r="A145" s="7"/>
      <c r="C145" s="56" t="s">
        <v>110</v>
      </c>
      <c r="D145" s="317" t="s">
        <v>198</v>
      </c>
      <c r="E145" s="317"/>
      <c r="F145" s="317"/>
      <c r="G145" s="75"/>
    </row>
    <row r="146" spans="1:7" x14ac:dyDescent="0.3">
      <c r="A146" s="7"/>
      <c r="C146" s="57"/>
      <c r="D146" s="15"/>
      <c r="E146" s="31">
        <f>'11 CCTV'!E130</f>
        <v>0</v>
      </c>
      <c r="F146" s="15" t="s">
        <v>139</v>
      </c>
      <c r="G146" s="75"/>
    </row>
    <row r="147" spans="1:7" x14ac:dyDescent="0.3">
      <c r="A147" s="7"/>
      <c r="C147" s="56" t="s">
        <v>140</v>
      </c>
      <c r="D147" s="15" t="s">
        <v>141</v>
      </c>
      <c r="F147" s="15"/>
      <c r="G147" s="75"/>
    </row>
    <row r="148" spans="1:7" x14ac:dyDescent="0.3">
      <c r="A148" s="7"/>
      <c r="C148" s="56"/>
      <c r="D148" s="15"/>
      <c r="E148" s="33">
        <f>'11 CCTV'!E132</f>
        <v>0</v>
      </c>
      <c r="F148" s="15"/>
      <c r="G148" s="75"/>
    </row>
    <row r="149" spans="1:7" x14ac:dyDescent="0.3">
      <c r="A149" s="7"/>
      <c r="C149" s="56"/>
      <c r="D149" s="15"/>
      <c r="E149" s="103"/>
      <c r="F149" s="15"/>
      <c r="G149" s="75"/>
    </row>
    <row r="150" spans="1:7" x14ac:dyDescent="0.3">
      <c r="A150" s="7"/>
      <c r="C150" s="57" t="s">
        <v>373</v>
      </c>
      <c r="D150" s="7" t="s">
        <v>374</v>
      </c>
      <c r="E150" s="12"/>
      <c r="F150" s="15"/>
      <c r="G150" s="75"/>
    </row>
    <row r="151" spans="1:7" x14ac:dyDescent="0.3">
      <c r="A151" s="7"/>
      <c r="C151" s="57"/>
      <c r="D151" s="7"/>
      <c r="E151" s="31">
        <f>'11 CCTV'!E135</f>
        <v>0</v>
      </c>
      <c r="F151" s="15"/>
      <c r="G151" s="75"/>
    </row>
    <row r="152" spans="1:7" x14ac:dyDescent="0.3">
      <c r="A152" s="7"/>
      <c r="C152" s="56"/>
      <c r="D152" s="15"/>
      <c r="E152" s="103"/>
      <c r="F152" s="15"/>
      <c r="G152" s="75"/>
    </row>
    <row r="153" spans="1:7" ht="31.5" customHeight="1" x14ac:dyDescent="0.3">
      <c r="A153" s="7"/>
      <c r="C153" s="56" t="s">
        <v>142</v>
      </c>
      <c r="D153" s="360" t="s">
        <v>255</v>
      </c>
      <c r="E153" s="360"/>
      <c r="F153" s="360"/>
      <c r="G153" s="75"/>
    </row>
    <row r="154" spans="1:7" x14ac:dyDescent="0.3">
      <c r="A154" s="7"/>
      <c r="C154" s="56"/>
      <c r="D154" s="38"/>
      <c r="E154" s="34" t="s">
        <v>145</v>
      </c>
      <c r="F154" s="113" t="s">
        <v>254</v>
      </c>
      <c r="G154" s="75"/>
    </row>
    <row r="155" spans="1:7" x14ac:dyDescent="0.3">
      <c r="A155" s="7"/>
      <c r="C155" s="56"/>
      <c r="D155" s="20" t="s">
        <v>27</v>
      </c>
      <c r="E155" s="62">
        <f>E164*3</f>
        <v>633</v>
      </c>
      <c r="F155" s="63">
        <f>F164</f>
        <v>1253.49</v>
      </c>
      <c r="G155" s="75"/>
    </row>
    <row r="156" spans="1:7" x14ac:dyDescent="0.3">
      <c r="A156" s="7"/>
      <c r="C156" s="56"/>
      <c r="D156" s="20" t="s">
        <v>28</v>
      </c>
      <c r="E156" s="62">
        <f t="shared" ref="E156:E160" si="3">E165*3</f>
        <v>3144</v>
      </c>
      <c r="F156" s="63">
        <f t="shared" ref="F156:F160" si="4">F165</f>
        <v>316.20999999999998</v>
      </c>
      <c r="G156" s="75"/>
    </row>
    <row r="157" spans="1:7" x14ac:dyDescent="0.3">
      <c r="A157" s="7"/>
      <c r="C157" s="56"/>
      <c r="D157" s="20" t="s">
        <v>29</v>
      </c>
      <c r="E157" s="62">
        <f t="shared" si="3"/>
        <v>654</v>
      </c>
      <c r="F157" s="63">
        <f t="shared" si="4"/>
        <v>482.33</v>
      </c>
      <c r="G157" s="75"/>
    </row>
    <row r="158" spans="1:7" x14ac:dyDescent="0.3">
      <c r="A158" s="7"/>
      <c r="C158" s="56"/>
      <c r="D158" s="20" t="s">
        <v>30</v>
      </c>
      <c r="E158" s="62">
        <f t="shared" si="3"/>
        <v>258</v>
      </c>
      <c r="F158" s="63">
        <f t="shared" si="4"/>
        <v>436.82</v>
      </c>
      <c r="G158" s="75"/>
    </row>
    <row r="159" spans="1:7" x14ac:dyDescent="0.3">
      <c r="A159" s="7"/>
      <c r="C159" s="56"/>
      <c r="D159" s="20" t="s">
        <v>32</v>
      </c>
      <c r="E159" s="62">
        <f t="shared" si="3"/>
        <v>69</v>
      </c>
      <c r="F159" s="63">
        <f t="shared" si="4"/>
        <v>444.35</v>
      </c>
      <c r="G159" s="75"/>
    </row>
    <row r="160" spans="1:7" x14ac:dyDescent="0.3">
      <c r="A160" s="7"/>
      <c r="C160" s="57"/>
      <c r="D160" s="20" t="s">
        <v>31</v>
      </c>
      <c r="E160" s="62">
        <f t="shared" si="3"/>
        <v>312</v>
      </c>
      <c r="F160" s="63">
        <f t="shared" si="4"/>
        <v>733</v>
      </c>
      <c r="G160" s="75"/>
    </row>
    <row r="161" spans="1:7" x14ac:dyDescent="0.3">
      <c r="A161" s="7"/>
      <c r="C161" s="57"/>
      <c r="D161" s="20"/>
      <c r="E161" s="20"/>
      <c r="F161" s="20"/>
      <c r="G161" s="75"/>
    </row>
    <row r="162" spans="1:7" x14ac:dyDescent="0.3">
      <c r="A162" s="7"/>
      <c r="C162" s="56" t="s">
        <v>146</v>
      </c>
      <c r="D162" s="30" t="s">
        <v>148</v>
      </c>
      <c r="E162" s="30"/>
      <c r="F162" s="30"/>
      <c r="G162" s="75"/>
    </row>
    <row r="163" spans="1:7" ht="28.8" x14ac:dyDescent="0.3">
      <c r="A163" s="7"/>
      <c r="C163" s="56"/>
      <c r="D163" s="38"/>
      <c r="E163" s="34" t="s">
        <v>149</v>
      </c>
      <c r="F163" s="87" t="s">
        <v>256</v>
      </c>
      <c r="G163" s="75"/>
    </row>
    <row r="164" spans="1:7" x14ac:dyDescent="0.3">
      <c r="A164" s="7"/>
      <c r="C164" s="56"/>
      <c r="D164" s="20" t="s">
        <v>27</v>
      </c>
      <c r="E164" s="64">
        <f>VLOOKUP($D164,PARAMETERS!$I$17:$K$22,2,0)</f>
        <v>211</v>
      </c>
      <c r="F164" s="61">
        <f>VLOOKUP($D164,PARAMETERS!$I$17:$K$22,3,0)</f>
        <v>1253.49</v>
      </c>
      <c r="G164" s="75"/>
    </row>
    <row r="165" spans="1:7" x14ac:dyDescent="0.3">
      <c r="A165" s="7"/>
      <c r="C165" s="56"/>
      <c r="D165" s="20" t="s">
        <v>28</v>
      </c>
      <c r="E165" s="64">
        <f>VLOOKUP($D165,PARAMETERS!$I$17:$K$22,2,0)</f>
        <v>1048</v>
      </c>
      <c r="F165" s="61">
        <f>VLOOKUP($D165,PARAMETERS!$I$17:$K$22,3,0)</f>
        <v>316.20999999999998</v>
      </c>
      <c r="G165" s="75"/>
    </row>
    <row r="166" spans="1:7" x14ac:dyDescent="0.3">
      <c r="A166" s="7"/>
      <c r="C166" s="56"/>
      <c r="D166" s="20" t="s">
        <v>29</v>
      </c>
      <c r="E166" s="64">
        <f>VLOOKUP($D166,PARAMETERS!$I$17:$K$22,2,0)</f>
        <v>218</v>
      </c>
      <c r="F166" s="61">
        <f>VLOOKUP($D166,PARAMETERS!$I$17:$K$22,3,0)</f>
        <v>482.33</v>
      </c>
      <c r="G166" s="75"/>
    </row>
    <row r="167" spans="1:7" x14ac:dyDescent="0.3">
      <c r="A167" s="7"/>
      <c r="C167" s="56"/>
      <c r="D167" s="20" t="s">
        <v>30</v>
      </c>
      <c r="E167" s="64">
        <f>VLOOKUP($D167,PARAMETERS!$I$17:$K$22,2,0)</f>
        <v>86</v>
      </c>
      <c r="F167" s="61">
        <f>VLOOKUP($D167,PARAMETERS!$I$17:$K$22,3,0)</f>
        <v>436.82</v>
      </c>
      <c r="G167" s="75"/>
    </row>
    <row r="168" spans="1:7" x14ac:dyDescent="0.3">
      <c r="A168" s="7"/>
      <c r="C168" s="57"/>
      <c r="D168" s="20" t="s">
        <v>32</v>
      </c>
      <c r="E168" s="64">
        <f>VLOOKUP($D168,PARAMETERS!$I$17:$K$22,2,0)</f>
        <v>23</v>
      </c>
      <c r="F168" s="61">
        <f>VLOOKUP($D168,PARAMETERS!$I$17:$K$22,3,0)</f>
        <v>444.35</v>
      </c>
      <c r="G168" s="75"/>
    </row>
    <row r="169" spans="1:7" x14ac:dyDescent="0.3">
      <c r="A169" s="7"/>
      <c r="C169" s="57"/>
      <c r="D169" s="20" t="s">
        <v>31</v>
      </c>
      <c r="E169" s="64">
        <f>VLOOKUP($D169,PARAMETERS!$I$17:$K$22,2,0)</f>
        <v>104</v>
      </c>
      <c r="F169" s="61">
        <f>VLOOKUP($D169,PARAMETERS!$I$17:$K$22,3,0)</f>
        <v>733</v>
      </c>
      <c r="G169" s="75"/>
    </row>
    <row r="170" spans="1:7" x14ac:dyDescent="0.3">
      <c r="A170" s="7"/>
      <c r="C170" s="57"/>
      <c r="D170" s="20"/>
      <c r="E170" s="20"/>
      <c r="F170" s="20"/>
      <c r="G170" s="75"/>
    </row>
    <row r="171" spans="1:7" ht="30" customHeight="1" x14ac:dyDescent="0.3">
      <c r="A171" s="7"/>
      <c r="C171" s="56" t="s">
        <v>150</v>
      </c>
      <c r="D171" s="317" t="s">
        <v>151</v>
      </c>
      <c r="E171" s="317"/>
      <c r="F171" s="317"/>
      <c r="G171" s="75"/>
    </row>
    <row r="172" spans="1:7" x14ac:dyDescent="0.3">
      <c r="A172" s="7"/>
      <c r="C172" s="56"/>
      <c r="D172" s="106"/>
      <c r="E172" s="35" t="str">
        <f>IF(E144="6 months",2*E148,IF(E144="1 year",E148,IF(E144="3 years",E148/3,"-")))</f>
        <v>-</v>
      </c>
      <c r="F172" s="20"/>
      <c r="G172" s="75"/>
    </row>
    <row r="173" spans="1:7" ht="30" customHeight="1" x14ac:dyDescent="0.3">
      <c r="A173" s="7"/>
      <c r="C173" s="190" t="s">
        <v>194</v>
      </c>
      <c r="D173" s="317" t="s">
        <v>591</v>
      </c>
      <c r="E173" s="317"/>
      <c r="F173" s="317"/>
      <c r="G173" s="75"/>
    </row>
    <row r="174" spans="1:7" x14ac:dyDescent="0.3">
      <c r="A174" s="7"/>
      <c r="C174" s="190"/>
      <c r="D174" s="285"/>
      <c r="E174" s="290">
        <f>'11 CCTV'!E135</f>
        <v>0</v>
      </c>
      <c r="F174" s="20"/>
      <c r="G174" s="75"/>
    </row>
    <row r="175" spans="1:7" x14ac:dyDescent="0.3">
      <c r="A175" s="7"/>
      <c r="C175" s="190" t="s">
        <v>592</v>
      </c>
      <c r="D175" s="317" t="s">
        <v>593</v>
      </c>
      <c r="E175" s="317"/>
      <c r="F175" s="317"/>
      <c r="G175" s="75"/>
    </row>
    <row r="176" spans="1:7" x14ac:dyDescent="0.3">
      <c r="A176" s="7"/>
      <c r="C176" s="190"/>
      <c r="D176" s="285"/>
      <c r="E176" s="35" t="e">
        <f>(1-(VLOOKUP(E174,'drop-downs'!AE2:AF7,2,FALSE))/100)*E172</f>
        <v>#N/A</v>
      </c>
      <c r="F176" s="20"/>
      <c r="G176" s="75"/>
    </row>
    <row r="177" spans="1:7" ht="15" thickBot="1" x14ac:dyDescent="0.35">
      <c r="A177" s="7"/>
      <c r="C177" s="57"/>
      <c r="D177" s="20"/>
      <c r="E177" s="20"/>
      <c r="F177" s="20"/>
      <c r="G177" s="75"/>
    </row>
    <row r="178" spans="1:7" ht="15.6" thickTop="1" thickBot="1" x14ac:dyDescent="0.35">
      <c r="A178" s="7"/>
      <c r="C178" s="57"/>
      <c r="D178" s="7"/>
      <c r="E178" s="140" t="s">
        <v>133</v>
      </c>
      <c r="F178" s="171" t="e">
        <f>IF(F26="NOT WARRANTED",0,IF(F26="WARRANTED",E172-E176,IF(F26="PARTIAL WARRANTED",0.25*(E172-E176),0)))</f>
        <v>#VALUE!</v>
      </c>
      <c r="G178" s="75"/>
    </row>
    <row r="179" spans="1:7" ht="15" thickTop="1" x14ac:dyDescent="0.3">
      <c r="A179" s="7"/>
      <c r="C179" s="60"/>
      <c r="D179" s="132"/>
      <c r="E179" s="132"/>
      <c r="F179" s="132"/>
      <c r="G179" s="99"/>
    </row>
    <row r="180" spans="1:7" x14ac:dyDescent="0.3">
      <c r="A180" s="7"/>
      <c r="C180" s="7"/>
      <c r="D180" s="7"/>
      <c r="E180" s="7"/>
      <c r="F180" s="7"/>
      <c r="G180" s="7"/>
    </row>
    <row r="181" spans="1:7" x14ac:dyDescent="0.3">
      <c r="C181" s="7"/>
      <c r="D181" s="7"/>
      <c r="E181" s="7"/>
      <c r="F181" s="7"/>
    </row>
    <row r="182" spans="1:7" x14ac:dyDescent="0.3">
      <c r="C182" s="55" t="s">
        <v>371</v>
      </c>
      <c r="D182" s="82"/>
      <c r="E182" s="82"/>
      <c r="F182" s="82"/>
      <c r="G182" s="100"/>
    </row>
    <row r="183" spans="1:7" x14ac:dyDescent="0.3">
      <c r="C183" s="58"/>
      <c r="D183" s="7"/>
      <c r="E183" s="7"/>
      <c r="F183" s="7"/>
      <c r="G183" s="75"/>
    </row>
    <row r="184" spans="1:7" ht="31.2" customHeight="1" x14ac:dyDescent="0.3">
      <c r="C184" s="57" t="s">
        <v>49</v>
      </c>
      <c r="D184" s="317" t="s">
        <v>105</v>
      </c>
      <c r="E184" s="317"/>
      <c r="F184" s="317"/>
      <c r="G184" s="75"/>
    </row>
    <row r="185" spans="1:7" x14ac:dyDescent="0.3">
      <c r="C185" s="57"/>
      <c r="D185" s="7"/>
      <c r="E185" s="147">
        <f>IF(E101+E129&gt;0,E101+E129,0)</f>
        <v>0</v>
      </c>
      <c r="F185" s="7" t="s">
        <v>106</v>
      </c>
      <c r="G185" s="75"/>
    </row>
    <row r="186" spans="1:7" x14ac:dyDescent="0.3">
      <c r="C186" s="57"/>
      <c r="D186" s="7"/>
      <c r="E186" s="7"/>
      <c r="F186" s="7"/>
      <c r="G186" s="75"/>
    </row>
    <row r="187" spans="1:7" ht="43.2" customHeight="1" x14ac:dyDescent="0.3">
      <c r="C187" s="57" t="s">
        <v>118</v>
      </c>
      <c r="D187" s="359" t="s">
        <v>179</v>
      </c>
      <c r="E187" s="359"/>
      <c r="F187" s="359"/>
      <c r="G187" s="75"/>
    </row>
    <row r="188" spans="1:7" x14ac:dyDescent="0.3">
      <c r="C188" s="57"/>
      <c r="D188" s="108"/>
      <c r="E188" s="26">
        <f>PARAMETERS!E23</f>
        <v>7.0000000000000007E-2</v>
      </c>
      <c r="F188" s="22" t="s">
        <v>112</v>
      </c>
      <c r="G188" s="75"/>
    </row>
    <row r="189" spans="1:7" x14ac:dyDescent="0.3">
      <c r="C189" s="57"/>
      <c r="D189" s="108"/>
      <c r="E189" s="22"/>
      <c r="F189" s="22"/>
      <c r="G189" s="75"/>
    </row>
    <row r="190" spans="1:7" x14ac:dyDescent="0.3">
      <c r="C190" s="57" t="s">
        <v>119</v>
      </c>
      <c r="D190" s="28" t="s">
        <v>120</v>
      </c>
      <c r="E190" s="27">
        <f>E188*E185*60</f>
        <v>0</v>
      </c>
      <c r="F190" s="22" t="s">
        <v>113</v>
      </c>
      <c r="G190" s="75"/>
    </row>
    <row r="191" spans="1:7" x14ac:dyDescent="0.3">
      <c r="C191" s="57"/>
      <c r="D191" s="28"/>
      <c r="E191" s="22"/>
      <c r="F191" s="22"/>
      <c r="G191" s="75"/>
    </row>
    <row r="192" spans="1:7" x14ac:dyDescent="0.3">
      <c r="C192" s="57" t="s">
        <v>123</v>
      </c>
      <c r="D192" s="29" t="s">
        <v>121</v>
      </c>
      <c r="E192" s="26">
        <f>PARAMETERS!E22</f>
        <v>2.13</v>
      </c>
      <c r="F192" s="22" t="s">
        <v>114</v>
      </c>
      <c r="G192" s="75"/>
    </row>
    <row r="193" spans="3:11" ht="15" thickBot="1" x14ac:dyDescent="0.35">
      <c r="C193" s="58"/>
      <c r="D193" s="29"/>
      <c r="E193" s="22"/>
      <c r="F193" s="22"/>
      <c r="G193" s="75"/>
    </row>
    <row r="194" spans="3:11" ht="15.6" thickTop="1" thickBot="1" x14ac:dyDescent="0.35">
      <c r="C194" s="58"/>
      <c r="D194" s="29"/>
      <c r="E194" s="140" t="s">
        <v>125</v>
      </c>
      <c r="F194" s="141">
        <f>E192*E190</f>
        <v>0</v>
      </c>
      <c r="G194" s="75"/>
    </row>
    <row r="195" spans="3:11" ht="15" thickTop="1" x14ac:dyDescent="0.3">
      <c r="C195" s="58"/>
      <c r="D195" s="25"/>
      <c r="E195" s="23"/>
      <c r="F195" s="23"/>
      <c r="G195" s="75"/>
    </row>
    <row r="196" spans="3:11" ht="28.8" x14ac:dyDescent="0.3">
      <c r="C196" s="57" t="s">
        <v>124</v>
      </c>
      <c r="D196" s="107" t="s">
        <v>180</v>
      </c>
      <c r="E196" s="26">
        <f>PARAMETERS!E24</f>
        <v>8.9200000000000008E-3</v>
      </c>
      <c r="F196" s="15" t="s">
        <v>115</v>
      </c>
      <c r="G196" s="75"/>
    </row>
    <row r="197" spans="3:11" x14ac:dyDescent="0.3">
      <c r="C197" s="57"/>
      <c r="D197" s="107"/>
      <c r="E197" s="24"/>
      <c r="F197" s="15"/>
      <c r="G197" s="75"/>
    </row>
    <row r="198" spans="3:11" ht="28.8" x14ac:dyDescent="0.3">
      <c r="C198" s="57" t="s">
        <v>126</v>
      </c>
      <c r="D198" s="107" t="s">
        <v>129</v>
      </c>
      <c r="E198" s="27">
        <f>E196*E190</f>
        <v>0</v>
      </c>
      <c r="F198" s="15" t="s">
        <v>116</v>
      </c>
      <c r="G198" s="75"/>
    </row>
    <row r="199" spans="3:11" x14ac:dyDescent="0.3">
      <c r="C199" s="57"/>
      <c r="D199" s="107"/>
      <c r="E199" s="24"/>
      <c r="F199" s="15"/>
      <c r="G199" s="75"/>
    </row>
    <row r="200" spans="3:11" x14ac:dyDescent="0.3">
      <c r="C200" s="57" t="s">
        <v>127</v>
      </c>
      <c r="D200" s="30" t="s">
        <v>184</v>
      </c>
      <c r="E200" s="278">
        <f>PARAMETERS!E25</f>
        <v>28.24</v>
      </c>
      <c r="F200" s="7" t="s">
        <v>117</v>
      </c>
      <c r="G200" s="75"/>
    </row>
    <row r="201" spans="3:11" ht="15" thickBot="1" x14ac:dyDescent="0.35">
      <c r="C201" s="58"/>
      <c r="D201" s="22"/>
      <c r="E201" s="22"/>
      <c r="F201" s="22"/>
      <c r="G201" s="75"/>
    </row>
    <row r="202" spans="3:11" ht="15.6" thickTop="1" thickBot="1" x14ac:dyDescent="0.35">
      <c r="C202" s="58"/>
      <c r="D202" s="25"/>
      <c r="E202" s="140" t="s">
        <v>125</v>
      </c>
      <c r="F202" s="141">
        <f>E200*E198</f>
        <v>0</v>
      </c>
      <c r="G202" s="75"/>
    </row>
    <row r="203" spans="3:11" ht="15.6" thickTop="1" thickBot="1" x14ac:dyDescent="0.35">
      <c r="C203" s="58"/>
      <c r="D203" s="25"/>
      <c r="E203" s="140"/>
      <c r="F203" s="23"/>
      <c r="G203" s="75"/>
    </row>
    <row r="204" spans="3:11" ht="15.6" thickTop="1" thickBot="1" x14ac:dyDescent="0.35">
      <c r="C204" s="58"/>
      <c r="D204" s="7"/>
      <c r="E204" s="140" t="s">
        <v>130</v>
      </c>
      <c r="F204" s="141">
        <f>IF(SUM(F137:F138)&gt;0,ROUND(F202+F194,-3),0)</f>
        <v>0</v>
      </c>
      <c r="G204" s="75"/>
      <c r="K204" s="102"/>
    </row>
    <row r="205" spans="3:11" ht="15" thickTop="1" x14ac:dyDescent="0.3">
      <c r="C205" s="60"/>
      <c r="D205" s="132"/>
      <c r="E205" s="132"/>
      <c r="F205" s="132"/>
      <c r="G205" s="99"/>
    </row>
    <row r="206" spans="3:11" ht="15" thickBot="1" x14ac:dyDescent="0.35">
      <c r="C206" s="7"/>
      <c r="D206" s="7"/>
      <c r="E206" s="7"/>
      <c r="F206" s="7"/>
    </row>
    <row r="207" spans="3:11" ht="19.2" thickTop="1" thickBot="1" x14ac:dyDescent="0.35">
      <c r="C207" s="7"/>
      <c r="D207" s="7"/>
      <c r="E207" s="94" t="s">
        <v>132</v>
      </c>
      <c r="F207" s="93" t="e">
        <f>ROUND(SUM(F75,F76,F137,F178,F138,F204),-2)</f>
        <v>#VALUE!</v>
      </c>
    </row>
    <row r="208" spans="3:11" ht="15" thickTop="1" x14ac:dyDescent="0.3"/>
  </sheetData>
  <mergeCells count="46">
    <mergeCell ref="D46:F46"/>
    <mergeCell ref="D54:F54"/>
    <mergeCell ref="D81:F81"/>
    <mergeCell ref="D61:F61"/>
    <mergeCell ref="D49:F49"/>
    <mergeCell ref="D51:F51"/>
    <mergeCell ref="D68:F68"/>
    <mergeCell ref="D32:F32"/>
    <mergeCell ref="D39:F39"/>
    <mergeCell ref="F23:G23"/>
    <mergeCell ref="F24:G24"/>
    <mergeCell ref="F25:G25"/>
    <mergeCell ref="F26:G26"/>
    <mergeCell ref="F27:G27"/>
    <mergeCell ref="F22:G22"/>
    <mergeCell ref="D21:G21"/>
    <mergeCell ref="F7:G7"/>
    <mergeCell ref="D10:E10"/>
    <mergeCell ref="F10:G10"/>
    <mergeCell ref="D12:G12"/>
    <mergeCell ref="F13:G13"/>
    <mergeCell ref="F14:G14"/>
    <mergeCell ref="F15:G15"/>
    <mergeCell ref="F16:G16"/>
    <mergeCell ref="F17:G17"/>
    <mergeCell ref="F18:G18"/>
    <mergeCell ref="F6:G6"/>
    <mergeCell ref="C1:C2"/>
    <mergeCell ref="D1:H1"/>
    <mergeCell ref="D2:H2"/>
    <mergeCell ref="D3:F3"/>
    <mergeCell ref="F5:G5"/>
    <mergeCell ref="D184:F184"/>
    <mergeCell ref="D187:F187"/>
    <mergeCell ref="D173:F173"/>
    <mergeCell ref="D143:F143"/>
    <mergeCell ref="D145:F145"/>
    <mergeCell ref="D153:F153"/>
    <mergeCell ref="D171:F171"/>
    <mergeCell ref="D175:F175"/>
    <mergeCell ref="D108:G108"/>
    <mergeCell ref="D111:G111"/>
    <mergeCell ref="D114:G114"/>
    <mergeCell ref="D123:G123"/>
    <mergeCell ref="D84:G84"/>
    <mergeCell ref="D100:E100"/>
  </mergeCells>
  <conditionalFormatting sqref="C81 C82:F83 C79:F80 C117:C119 C124:C125 C122 C127 C129:C130 C106:C107 C134:C135 C136:F140">
    <cfRule type="expression" dxfId="90" priority="82">
      <formula>#REF!="NO"</formula>
    </cfRule>
  </conditionalFormatting>
  <conditionalFormatting sqref="C193:F205 C192:D192 F192 C182:F191">
    <cfRule type="expression" dxfId="89" priority="81">
      <formula>#REF!="NO"</formula>
    </cfRule>
  </conditionalFormatting>
  <conditionalFormatting sqref="C47:F48 C51:C52 C53:F77 C30:F45">
    <cfRule type="expression" dxfId="88" priority="80">
      <formula>#REF!="NO"</formula>
    </cfRule>
  </conditionalFormatting>
  <conditionalFormatting sqref="E207 E134:E135">
    <cfRule type="expression" dxfId="87" priority="79">
      <formula>#REF!="NO"</formula>
    </cfRule>
  </conditionalFormatting>
  <conditionalFormatting sqref="E207 D106:D107 D134:F135">
    <cfRule type="expression" dxfId="86" priority="78">
      <formula>"($C$15='NO')"</formula>
    </cfRule>
  </conditionalFormatting>
  <conditionalFormatting sqref="F207 D106:D107 D134:D135 F134:F135">
    <cfRule type="expression" dxfId="85" priority="76">
      <formula>#REF!="NO"</formula>
    </cfRule>
  </conditionalFormatting>
  <conditionalFormatting sqref="F207">
    <cfRule type="expression" dxfId="84" priority="77">
      <formula>"($C$15='NO')"</formula>
    </cfRule>
  </conditionalFormatting>
  <conditionalFormatting sqref="C46:D46">
    <cfRule type="expression" dxfId="83" priority="75">
      <formula>#REF!="NO"</formula>
    </cfRule>
  </conditionalFormatting>
  <conditionalFormatting sqref="D81:F81">
    <cfRule type="expression" dxfId="82" priority="74">
      <formula>#REF!="NO"</formula>
    </cfRule>
  </conditionalFormatting>
  <conditionalFormatting sqref="E192">
    <cfRule type="expression" dxfId="81" priority="69">
      <formula>"($C$15='NO')"</formula>
    </cfRule>
  </conditionalFormatting>
  <conditionalFormatting sqref="D117:D119 D125 D122 D127:D130">
    <cfRule type="expression" dxfId="80" priority="68">
      <formula>#REF!="NO"</formula>
    </cfRule>
  </conditionalFormatting>
  <conditionalFormatting sqref="D117:D119 D125 D122 D127:D130">
    <cfRule type="expression" dxfId="79" priority="67">
      <formula>"($C$15='NO')"</formula>
    </cfRule>
  </conditionalFormatting>
  <conditionalFormatting sqref="F106:F107 F117:F120 F125 F122 F127:F130">
    <cfRule type="expression" dxfId="78" priority="66">
      <formula>"($C$15='NO')"</formula>
    </cfRule>
  </conditionalFormatting>
  <conditionalFormatting sqref="F106:F107 F117:F120 F125 F122 F127:F130">
    <cfRule type="expression" dxfId="77" priority="65">
      <formula>#REF!="NO"</formula>
    </cfRule>
  </conditionalFormatting>
  <conditionalFormatting sqref="C150:E151">
    <cfRule type="expression" dxfId="76" priority="61">
      <formula>#REF!="NOT WARRANTED"</formula>
    </cfRule>
  </conditionalFormatting>
  <conditionalFormatting sqref="C50:F50">
    <cfRule type="expression" dxfId="75" priority="60">
      <formula>#REF!="NO"</formula>
    </cfRule>
  </conditionalFormatting>
  <conditionalFormatting sqref="C49:D49">
    <cfRule type="expression" dxfId="74" priority="59">
      <formula>#REF!="NO"</formula>
    </cfRule>
  </conditionalFormatting>
  <conditionalFormatting sqref="D52:F52">
    <cfRule type="expression" dxfId="73" priority="58">
      <formula>#REF!="NO"</formula>
    </cfRule>
  </conditionalFormatting>
  <conditionalFormatting sqref="D51">
    <cfRule type="expression" dxfId="72" priority="57">
      <formula>#REF!="NO"</formula>
    </cfRule>
  </conditionalFormatting>
  <conditionalFormatting sqref="E106:E107 E117:E118">
    <cfRule type="expression" dxfId="71" priority="56">
      <formula>#REF!="NO"</formula>
    </cfRule>
  </conditionalFormatting>
  <conditionalFormatting sqref="E106:E107 E117:E118">
    <cfRule type="expression" dxfId="70" priority="55">
      <formula>"($C$15='NO')"</formula>
    </cfRule>
  </conditionalFormatting>
  <conditionalFormatting sqref="C108:C116 C123">
    <cfRule type="expression" dxfId="69" priority="54">
      <formula>AND($H$27="NOT WARRANTED",$H$43="NOT WARRANTED",$H$54="NOT WARRANTED",$H$68="NOT WARRANTED",#REF!="NOT WARRANTED")</formula>
    </cfRule>
  </conditionalFormatting>
  <conditionalFormatting sqref="D109:G110 D112:G113">
    <cfRule type="expression" dxfId="68" priority="53">
      <formula>AND($H$48="NOT WARRANTED",$H$59="NOT WARRANTED")</formula>
    </cfRule>
  </conditionalFormatting>
  <conditionalFormatting sqref="E122 E125 E127:E130">
    <cfRule type="expression" dxfId="67" priority="52">
      <formula>#REF!="NO"</formula>
    </cfRule>
  </conditionalFormatting>
  <conditionalFormatting sqref="E122 E125 E127:E130">
    <cfRule type="expression" dxfId="66" priority="51">
      <formula>"($C$15='NO')"</formula>
    </cfRule>
  </conditionalFormatting>
  <conditionalFormatting sqref="D115:E116">
    <cfRule type="expression" dxfId="65" priority="48">
      <formula>AND($H$48="NOT WARRANTED",$H$59="NOT WARRANTED")</formula>
    </cfRule>
  </conditionalFormatting>
  <conditionalFormatting sqref="D111:G111">
    <cfRule type="expression" dxfId="64" priority="38">
      <formula>AND($H$48="NOT WARRANTED",$H$59="NOT WARRANTED")</formula>
    </cfRule>
  </conditionalFormatting>
  <conditionalFormatting sqref="D114:G114">
    <cfRule type="expression" dxfId="63" priority="47">
      <formula>AND($H$48="NOT WARRANTED",$H$59="NOT WARRANTED")</formula>
    </cfRule>
  </conditionalFormatting>
  <conditionalFormatting sqref="G115:G116">
    <cfRule type="expression" dxfId="62" priority="46">
      <formula>AND($H$48="NOT WARRANTED",$H$59="NOT WARRANTED")</formula>
    </cfRule>
  </conditionalFormatting>
  <conditionalFormatting sqref="F115">
    <cfRule type="expression" dxfId="61" priority="45">
      <formula>AND($H$48="NOT WARRANTED",$H$59="NOT WARRANTED")</formula>
    </cfRule>
  </conditionalFormatting>
  <conditionalFormatting sqref="D123:D124">
    <cfRule type="expression" dxfId="60" priority="44">
      <formula>"($C$15='NO')"</formula>
    </cfRule>
  </conditionalFormatting>
  <conditionalFormatting sqref="F116">
    <cfRule type="expression" dxfId="59" priority="43">
      <formula>AND($H$48="NOT WARRANTED",$H$59="NOT WARRANTED")</formula>
    </cfRule>
  </conditionalFormatting>
  <conditionalFormatting sqref="D108:G108">
    <cfRule type="expression" dxfId="58" priority="39">
      <formula>AND($H$48="NOT WARRANTED",$H$59="NOT WARRANTED")</formula>
    </cfRule>
  </conditionalFormatting>
  <conditionalFormatting sqref="E119">
    <cfRule type="expression" dxfId="57" priority="37">
      <formula>#REF!="NO"</formula>
    </cfRule>
  </conditionalFormatting>
  <conditionalFormatting sqref="E119">
    <cfRule type="expression" dxfId="56" priority="36">
      <formula>"($C$15='NO')"</formula>
    </cfRule>
  </conditionalFormatting>
  <conditionalFormatting sqref="C120:C121">
    <cfRule type="expression" dxfId="55" priority="35">
      <formula>#REF!="NO"</formula>
    </cfRule>
  </conditionalFormatting>
  <conditionalFormatting sqref="D120:D121">
    <cfRule type="expression" dxfId="54" priority="34">
      <formula>#REF!="NO"</formula>
    </cfRule>
  </conditionalFormatting>
  <conditionalFormatting sqref="D120:D121">
    <cfRule type="expression" dxfId="53" priority="33">
      <formula>"($C$15='NO')"</formula>
    </cfRule>
  </conditionalFormatting>
  <conditionalFormatting sqref="E120">
    <cfRule type="expression" dxfId="52" priority="32">
      <formula>#REF!="NO"</formula>
    </cfRule>
  </conditionalFormatting>
  <conditionalFormatting sqref="E120">
    <cfRule type="expression" dxfId="51" priority="31">
      <formula>"($C$15='NO')"</formula>
    </cfRule>
  </conditionalFormatting>
  <conditionalFormatting sqref="E121:F121">
    <cfRule type="expression" dxfId="50" priority="30">
      <formula>#REF!="NO"</formula>
    </cfRule>
  </conditionalFormatting>
  <conditionalFormatting sqref="C126:F126">
    <cfRule type="expression" dxfId="49" priority="29">
      <formula>#REF!="NO"</formula>
    </cfRule>
  </conditionalFormatting>
  <conditionalFormatting sqref="C128">
    <cfRule type="expression" dxfId="48" priority="28">
      <formula>#REF!="NO"</formula>
    </cfRule>
  </conditionalFormatting>
  <conditionalFormatting sqref="C131:C133">
    <cfRule type="expression" dxfId="47" priority="27">
      <formula>#REF!="NO"</formula>
    </cfRule>
  </conditionalFormatting>
  <conditionalFormatting sqref="D131:D133">
    <cfRule type="expression" dxfId="46" priority="26">
      <formula>#REF!="NO"</formula>
    </cfRule>
  </conditionalFormatting>
  <conditionalFormatting sqref="D131:D133">
    <cfRule type="expression" dxfId="45" priority="25">
      <formula>"($C$15='NO')"</formula>
    </cfRule>
  </conditionalFormatting>
  <conditionalFormatting sqref="E131:F131 F132">
    <cfRule type="expression" dxfId="44" priority="24">
      <formula>"($C$15='NO')"</formula>
    </cfRule>
  </conditionalFormatting>
  <conditionalFormatting sqref="E131:F131 F132">
    <cfRule type="expression" dxfId="43" priority="23">
      <formula>#REF!="NO"</formula>
    </cfRule>
  </conditionalFormatting>
  <conditionalFormatting sqref="D103">
    <cfRule type="expression" dxfId="42" priority="20">
      <formula>"($C$15='NO')"</formula>
    </cfRule>
  </conditionalFormatting>
  <conditionalFormatting sqref="E103:F103">
    <cfRule type="expression" dxfId="41" priority="19">
      <formula>"($C$15='NO')"</formula>
    </cfRule>
  </conditionalFormatting>
  <conditionalFormatting sqref="E132">
    <cfRule type="expression" dxfId="40" priority="15">
      <formula>#REF!="NO"</formula>
    </cfRule>
  </conditionalFormatting>
  <conditionalFormatting sqref="E132">
    <cfRule type="expression" dxfId="39" priority="14">
      <formula>"($C$15='NO')"</formula>
    </cfRule>
  </conditionalFormatting>
  <conditionalFormatting sqref="F133">
    <cfRule type="expression" dxfId="38" priority="12">
      <formula>#REF!="NO"</formula>
    </cfRule>
  </conditionalFormatting>
  <conditionalFormatting sqref="E174">
    <cfRule type="expression" dxfId="37" priority="4">
      <formula>$D$19="NO"</formula>
    </cfRule>
  </conditionalFormatting>
  <conditionalFormatting sqref="C175">
    <cfRule type="expression" dxfId="36" priority="3">
      <formula>$D$19="NO"</formula>
    </cfRule>
  </conditionalFormatting>
  <conditionalFormatting sqref="E176">
    <cfRule type="expression" dxfId="35" priority="1">
      <formula>$D$19="NO"</formula>
    </cfRule>
  </conditionalFormatting>
  <conditionalFormatting sqref="D175">
    <cfRule type="expression" dxfId="34" priority="2">
      <formula>$D$19="NO"</formula>
    </cfRule>
  </conditionalFormatting>
  <conditionalFormatting sqref="C174:D174 F174 F176 C176:D176">
    <cfRule type="expression" dxfId="33" priority="7">
      <formula>$D$19="NO"</formula>
    </cfRule>
  </conditionalFormatting>
  <conditionalFormatting sqref="C173">
    <cfRule type="expression" dxfId="32" priority="6">
      <formula>$D$19="NO"</formula>
    </cfRule>
  </conditionalFormatting>
  <conditionalFormatting sqref="D173">
    <cfRule type="expression" dxfId="31" priority="5">
      <formula>$D$19="NO"</formula>
    </cfRule>
  </conditionalFormatting>
  <dataValidations disablePrompts="1" count="4">
    <dataValidation type="whole" allowBlank="1" showInputMessage="1" showErrorMessage="1" sqref="F10">
      <formula1>0</formula1>
      <formula2>10000000</formula2>
    </dataValidation>
    <dataValidation showInputMessage="1" showErrorMessage="1" sqref="F11:G11"/>
    <dataValidation allowBlank="1" showInputMessage="1" showErrorMessage="1" promptTitle="Urban or Rural" sqref="D32:F38 F40:F45 F62:F67 E48 F52:F53 F47:F48 F50 E67 D39:D75 F55:F60 F69:F74"/>
    <dataValidation showInputMessage="1" showErrorMessage="1" promptTitle="Increased Maintenance" sqref="E144:F144"/>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22" id="{8DF56119-8A67-404B-A772-EB9D547D923A}">
            <xm:f>'5 Signal Retiming Benefit'!$D$14="NO"</xm:f>
            <x14:dxf>
              <font>
                <color theme="0" tint="-0.24994659260841701"/>
              </font>
              <fill>
                <patternFill>
                  <bgColor theme="0" tint="-0.34998626667073579"/>
                </patternFill>
              </fill>
            </x14:dxf>
          </x14:cfRule>
          <xm:sqref>C103 C90:D90 C104:F105 C85:F88 C91:F99 G85:G105 E89:F89 C101:F102 C100:D100 F100</xm:sqref>
        </x14:conditionalFormatting>
        <x14:conditionalFormatting xmlns:xm="http://schemas.microsoft.com/office/excel/2006/main">
          <x14:cfRule type="expression" priority="21" id="{8648763B-2677-45CC-90BE-93022596248D}">
            <xm:f>'5 Signal Retiming Benefit'!#REF!="NO"</xm:f>
            <x14:dxf>
              <font>
                <color theme="0" tint="-0.24994659260841701"/>
              </font>
              <fill>
                <patternFill>
                  <bgColor theme="0" tint="-0.34998626667073579"/>
                </patternFill>
              </fill>
            </x14:dxf>
          </x14:cfRule>
          <xm:sqref>D103</xm:sqref>
        </x14:conditionalFormatting>
        <x14:conditionalFormatting xmlns:xm="http://schemas.microsoft.com/office/excel/2006/main">
          <x14:cfRule type="expression" priority="18" id="{0DC5304B-3B20-4B1D-B02D-F9C4A89BCE35}">
            <xm:f>'5 Signal Retiming Benefit'!#REF!="NO"</xm:f>
            <x14:dxf>
              <font>
                <color theme="0" tint="-0.24994659260841701"/>
              </font>
              <fill>
                <patternFill>
                  <bgColor theme="0" tint="-0.34998626667073579"/>
                </patternFill>
              </fill>
            </x14:dxf>
          </x14:cfRule>
          <xm:sqref>E103:F103</xm:sqref>
        </x14:conditionalFormatting>
        <x14:conditionalFormatting xmlns:xm="http://schemas.microsoft.com/office/excel/2006/main">
          <x14:cfRule type="expression" priority="17" id="{D8BE1403-9CE9-4EA4-B87B-1CB2CB79ED66}">
            <xm:f>'5 Signal Retiming Benefit'!$D$17="NO"</xm:f>
            <x14:dxf>
              <font>
                <color theme="0" tint="-0.24994659260841701"/>
              </font>
              <fill>
                <patternFill>
                  <bgColor theme="0" tint="-0.34998626667073579"/>
                </patternFill>
              </fill>
            </x14:dxf>
          </x14:cfRule>
          <xm:sqref>C84</xm:sqref>
        </x14:conditionalFormatting>
        <x14:conditionalFormatting xmlns:xm="http://schemas.microsoft.com/office/excel/2006/main">
          <x14:cfRule type="expression" priority="16" id="{77B333AA-18F2-4C81-B853-CF819B1FE6A7}">
            <xm:f>'5 Signal Retiming Benefit'!$D$14="NO"</xm:f>
            <x14:dxf>
              <font>
                <color theme="0" tint="-0.24994659260841701"/>
              </font>
              <fill>
                <patternFill>
                  <bgColor theme="0" tint="-0.34998626667073579"/>
                </patternFill>
              </fill>
            </x14:dxf>
          </x14:cfRule>
          <xm:sqref>C89:D89</xm:sqref>
        </x14:conditionalFormatting>
        <x14:conditionalFormatting xmlns:xm="http://schemas.microsoft.com/office/excel/2006/main">
          <x14:cfRule type="expression" priority="13" id="{F2FAE442-6F5E-48A3-8010-0B3047055D73}">
            <xm:f>'5 Signal Retiming Benefit'!$D$14="NO"</xm:f>
            <x14:dxf>
              <font>
                <color theme="0" tint="-0.24994659260841701"/>
              </font>
              <fill>
                <patternFill>
                  <bgColor theme="0" tint="-0.34998626667073579"/>
                </patternFill>
              </fill>
            </x14:dxf>
          </x14:cfRule>
          <xm:sqref>E133</xm:sqref>
        </x14:conditionalFormatting>
        <x14:conditionalFormatting xmlns:xm="http://schemas.microsoft.com/office/excel/2006/main">
          <x14:cfRule type="expression" priority="186" id="{CC90410B-4E06-4961-A0C9-4919F271684A}">
            <xm:f>'9 ITS Device Replac Benefit'!#REF!="NO"</xm:f>
            <x14:dxf>
              <font>
                <color theme="0" tint="-0.24994659260841701"/>
              </font>
              <fill>
                <patternFill>
                  <bgColor theme="0" tint="-0.34998626667073579"/>
                </patternFill>
              </fill>
            </x14:dxf>
          </x14:cfRule>
          <xm:sqref>C141:G142 G145 C144:G144 C143:D143 G143 G153 C146:G146 C147:D149 F147:G147 E148:G149 C172:G172 C171:D171 G171 C177:G180 E152:G152 F150:G151 C152:D153 C154:G170 G173:G176 C145:D145</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showInputMessage="1" showErrorMessage="1" promptTitle="Region">
          <x14:formula1>
            <xm:f>'drop-downs'!$I$2:$I$7</xm:f>
          </x14:formula1>
          <xm:sqref>F5:F7</xm:sqref>
        </x14:dataValidation>
        <x14:dataValidation type="list" showInputMessage="1" showErrorMessage="1" errorTitle="Invalid Entry" error="Select Yes or No from the drop down menu.">
          <x14:formula1>
            <xm:f>'C:\Users\natalie.mengelkoch\Desktop\[WISDOT ITS Warrants.xlsx]DMS Warrants back page'!#REF!</xm:f>
          </x14:formula1>
          <xm:sqref>C29</xm:sqref>
        </x14:dataValidation>
        <x14:dataValidation type="list" showInputMessage="1" showErrorMessage="1">
          <x14:formula1>
            <xm:f>'drop-downs'!$AR$2:$AR$4</xm:f>
          </x14:formula1>
          <xm:sqref>F13:G18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I34"/>
  <sheetViews>
    <sheetView topLeftCell="A4" zoomScaleNormal="100" workbookViewId="0">
      <selection activeCell="E6" sqref="E6:F6"/>
    </sheetView>
  </sheetViews>
  <sheetFormatPr defaultRowHeight="14.4" x14ac:dyDescent="0.3"/>
  <cols>
    <col min="1" max="1" width="1.5546875" customWidth="1"/>
    <col min="2" max="2" width="13.77734375" customWidth="1"/>
    <col min="4" max="4" width="43.33203125" customWidth="1"/>
    <col min="5" max="5" width="16.77734375" customWidth="1"/>
    <col min="6" max="6" width="22.44140625" customWidth="1"/>
    <col min="9" max="9" width="78.5546875" customWidth="1"/>
  </cols>
  <sheetData>
    <row r="1" spans="1:9" s="4" customFormat="1" x14ac:dyDescent="0.3">
      <c r="A1" s="7"/>
      <c r="B1" s="7"/>
      <c r="C1" s="277" t="s">
        <v>488</v>
      </c>
      <c r="E1" s="162"/>
      <c r="F1" s="162"/>
      <c r="G1" s="7"/>
      <c r="H1" s="7"/>
    </row>
    <row r="2" spans="1:9" s="4" customFormat="1" ht="25.8" x14ac:dyDescent="0.3">
      <c r="A2" s="7"/>
      <c r="B2" s="7"/>
      <c r="C2" s="316" t="s">
        <v>570</v>
      </c>
      <c r="D2" s="316"/>
      <c r="E2" s="316"/>
      <c r="F2" s="316"/>
      <c r="G2" s="7"/>
      <c r="H2" s="7"/>
    </row>
    <row r="3" spans="1:9" s="4" customFormat="1" x14ac:dyDescent="0.3">
      <c r="A3" s="7"/>
      <c r="B3" s="7"/>
      <c r="C3" s="7"/>
      <c r="D3" s="162"/>
      <c r="E3" s="162"/>
      <c r="F3" s="162"/>
      <c r="G3" s="7"/>
      <c r="H3" s="7"/>
    </row>
    <row r="4" spans="1:9" s="4" customFormat="1" x14ac:dyDescent="0.3">
      <c r="A4" s="7"/>
      <c r="B4" s="7"/>
      <c r="C4" s="7"/>
      <c r="D4" s="7"/>
      <c r="E4" s="7"/>
      <c r="F4" s="7"/>
      <c r="G4" s="7"/>
      <c r="H4" s="7"/>
    </row>
    <row r="5" spans="1:9" s="4" customFormat="1" x14ac:dyDescent="0.3">
      <c r="A5" s="7"/>
      <c r="B5" s="7"/>
      <c r="C5" s="7"/>
      <c r="D5" s="20" t="s">
        <v>2</v>
      </c>
      <c r="E5" s="321" t="str">
        <f>IF('Project Information'!E5=0, "-",'Project Information'!E5)</f>
        <v>-</v>
      </c>
      <c r="F5" s="321"/>
      <c r="G5" s="7"/>
      <c r="H5" s="7"/>
    </row>
    <row r="6" spans="1:9" s="4" customFormat="1" x14ac:dyDescent="0.3">
      <c r="A6" s="7"/>
      <c r="B6" s="7"/>
      <c r="C6" s="7"/>
      <c r="D6" s="20" t="s">
        <v>0</v>
      </c>
      <c r="E6" s="321" t="str">
        <f>IF('Project Information'!E6=0, "-",'Project Information'!E6)</f>
        <v>-</v>
      </c>
      <c r="F6" s="321"/>
      <c r="G6" s="7"/>
      <c r="H6" s="7"/>
    </row>
    <row r="7" spans="1:9" s="4" customFormat="1" x14ac:dyDescent="0.3">
      <c r="A7" s="7"/>
      <c r="B7" s="7"/>
      <c r="C7" s="7"/>
      <c r="D7" s="20" t="s">
        <v>160</v>
      </c>
      <c r="E7" s="321" t="str">
        <f>IF('Project Information'!E7=0, "-",'Project Information'!E7)</f>
        <v>-</v>
      </c>
      <c r="F7" s="321"/>
      <c r="G7" s="7"/>
      <c r="H7" s="7"/>
    </row>
    <row r="8" spans="1:9" s="4" customFormat="1" x14ac:dyDescent="0.3">
      <c r="A8" s="7"/>
      <c r="B8" s="7"/>
      <c r="C8" s="7"/>
      <c r="D8" s="7"/>
      <c r="E8" s="20"/>
      <c r="F8" s="7"/>
      <c r="G8" s="7"/>
      <c r="H8" s="7"/>
    </row>
    <row r="9" spans="1:9" s="4" customFormat="1" x14ac:dyDescent="0.3">
      <c r="A9" s="7"/>
      <c r="B9" s="7"/>
      <c r="C9" s="7"/>
      <c r="D9" s="7"/>
      <c r="E9" s="20"/>
      <c r="F9" s="7"/>
      <c r="G9" s="7"/>
      <c r="H9" s="7"/>
    </row>
    <row r="10" spans="1:9" s="4" customFormat="1" x14ac:dyDescent="0.3">
      <c r="B10" s="4">
        <v>1</v>
      </c>
      <c r="C10" s="317" t="s">
        <v>571</v>
      </c>
      <c r="D10" s="317"/>
      <c r="E10" s="317"/>
      <c r="F10" s="317"/>
      <c r="G10" s="276"/>
      <c r="I10" s="220"/>
    </row>
    <row r="12" spans="1:9" x14ac:dyDescent="0.3">
      <c r="C12" s="249" t="s">
        <v>522</v>
      </c>
      <c r="D12" s="324" t="s">
        <v>572</v>
      </c>
      <c r="E12" s="324"/>
      <c r="F12" s="324"/>
    </row>
    <row r="13" spans="1:9" x14ac:dyDescent="0.3">
      <c r="I13" s="283"/>
    </row>
    <row r="14" spans="1:9" x14ac:dyDescent="0.3">
      <c r="C14" s="249" t="s">
        <v>522</v>
      </c>
      <c r="D14" s="324" t="s">
        <v>573</v>
      </c>
      <c r="E14" s="324"/>
      <c r="F14" s="324"/>
    </row>
    <row r="16" spans="1:9" x14ac:dyDescent="0.3">
      <c r="C16" s="249" t="s">
        <v>522</v>
      </c>
      <c r="D16" s="324" t="s">
        <v>578</v>
      </c>
      <c r="E16" s="324"/>
      <c r="F16" s="324"/>
    </row>
    <row r="18" spans="2:6" x14ac:dyDescent="0.3">
      <c r="C18" s="249" t="s">
        <v>522</v>
      </c>
      <c r="D18" s="324" t="s">
        <v>574</v>
      </c>
      <c r="E18" s="324"/>
      <c r="F18" s="324"/>
    </row>
    <row r="20" spans="2:6" x14ac:dyDescent="0.3">
      <c r="C20" s="249" t="s">
        <v>522</v>
      </c>
      <c r="D20" s="324" t="s">
        <v>575</v>
      </c>
      <c r="E20" s="324"/>
      <c r="F20" s="324"/>
    </row>
    <row r="22" spans="2:6" x14ac:dyDescent="0.3">
      <c r="C22" s="249" t="s">
        <v>522</v>
      </c>
      <c r="D22" s="324" t="s">
        <v>576</v>
      </c>
      <c r="E22" s="324"/>
      <c r="F22" s="324"/>
    </row>
    <row r="24" spans="2:6" x14ac:dyDescent="0.3">
      <c r="C24" s="249" t="s">
        <v>522</v>
      </c>
      <c r="D24" s="324" t="s">
        <v>577</v>
      </c>
      <c r="E24" s="324"/>
      <c r="F24" s="324"/>
    </row>
    <row r="26" spans="2:6" ht="28.8" customHeight="1" x14ac:dyDescent="0.3">
      <c r="C26" s="249" t="s">
        <v>522</v>
      </c>
      <c r="D26" s="326" t="s">
        <v>581</v>
      </c>
      <c r="E26" s="326"/>
      <c r="F26" s="326"/>
    </row>
    <row r="28" spans="2:6" ht="30" customHeight="1" x14ac:dyDescent="0.3">
      <c r="C28" s="249" t="s">
        <v>522</v>
      </c>
      <c r="D28" s="326" t="s">
        <v>580</v>
      </c>
      <c r="E28" s="326"/>
      <c r="F28" s="326"/>
    </row>
    <row r="30" spans="2:6" x14ac:dyDescent="0.3">
      <c r="B30">
        <v>2</v>
      </c>
      <c r="C30" s="324" t="s">
        <v>619</v>
      </c>
      <c r="D30" s="324"/>
      <c r="E30" s="324"/>
      <c r="F30" s="324"/>
    </row>
    <row r="31" spans="2:6" ht="42" customHeight="1" x14ac:dyDescent="0.3">
      <c r="C31" s="318"/>
      <c r="D31" s="319"/>
      <c r="E31" s="319"/>
      <c r="F31" s="320"/>
    </row>
    <row r="33" spans="2:9" ht="28.2" customHeight="1" x14ac:dyDescent="0.3">
      <c r="B33" s="4">
        <v>3</v>
      </c>
      <c r="C33" s="317" t="s">
        <v>579</v>
      </c>
      <c r="D33" s="317"/>
      <c r="E33" s="317"/>
      <c r="F33" s="317"/>
    </row>
    <row r="34" spans="2:9" s="4" customFormat="1" ht="114.6" customHeight="1" x14ac:dyDescent="0.3">
      <c r="C34" s="318"/>
      <c r="D34" s="319"/>
      <c r="E34" s="319"/>
      <c r="F34" s="320"/>
      <c r="G34" s="7"/>
      <c r="H34" s="7"/>
      <c r="I34" s="7"/>
    </row>
  </sheetData>
  <mergeCells count="18">
    <mergeCell ref="D12:F12"/>
    <mergeCell ref="C2:F2"/>
    <mergeCell ref="E5:F5"/>
    <mergeCell ref="E6:F6"/>
    <mergeCell ref="E7:F7"/>
    <mergeCell ref="C10:F10"/>
    <mergeCell ref="D28:F28"/>
    <mergeCell ref="D18:F18"/>
    <mergeCell ref="C33:F33"/>
    <mergeCell ref="C34:F34"/>
    <mergeCell ref="D14:F14"/>
    <mergeCell ref="D16:F16"/>
    <mergeCell ref="D20:F20"/>
    <mergeCell ref="D22:F22"/>
    <mergeCell ref="D24:F24"/>
    <mergeCell ref="D26:F26"/>
    <mergeCell ref="C30:F30"/>
    <mergeCell ref="C31:F31"/>
  </mergeCells>
  <conditionalFormatting sqref="G34">
    <cfRule type="expression" dxfId="527" priority="1">
      <formula>#REF!="NO"</formula>
    </cfRule>
  </conditionalFormatting>
  <pageMargins left="0.7" right="0.7" top="0.75" bottom="0.75" header="0.3" footer="0.3"/>
  <pageSetup scale="85" fitToHeight="0"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H43"/>
  <sheetViews>
    <sheetView zoomScaleNormal="100" zoomScaleSheetLayoutView="90" workbookViewId="0">
      <selection activeCell="E21" sqref="E21"/>
    </sheetView>
  </sheetViews>
  <sheetFormatPr defaultColWidth="8.88671875" defaultRowHeight="14.4" x14ac:dyDescent="0.3"/>
  <cols>
    <col min="1" max="1" width="2.33203125" style="4" customWidth="1"/>
    <col min="2" max="2" width="13.33203125" style="4" customWidth="1"/>
    <col min="3" max="3" width="44.88671875" style="4" customWidth="1"/>
    <col min="4" max="4" width="11.44140625" style="4" customWidth="1"/>
    <col min="5" max="5" width="29" style="4" customWidth="1"/>
    <col min="6" max="6" width="1.44140625" style="4" customWidth="1"/>
    <col min="7" max="7" width="9.109375" style="4" customWidth="1"/>
    <col min="8" max="16384" width="8.88671875" style="4"/>
  </cols>
  <sheetData>
    <row r="1" spans="2:8" x14ac:dyDescent="0.3">
      <c r="C1" s="277" t="s">
        <v>488</v>
      </c>
    </row>
    <row r="2" spans="2:8" ht="25.8" x14ac:dyDescent="0.3">
      <c r="C2" s="130" t="s">
        <v>537</v>
      </c>
      <c r="D2" s="131"/>
      <c r="E2" s="131"/>
      <c r="G2" s="225"/>
    </row>
    <row r="5" spans="2:8" x14ac:dyDescent="0.3">
      <c r="C5" s="6" t="s">
        <v>2</v>
      </c>
      <c r="D5" s="380" t="str">
        <f>IF('Project Information'!E5=0, "-",'Project Information'!E5)</f>
        <v>-</v>
      </c>
      <c r="E5" s="380"/>
    </row>
    <row r="6" spans="2:8" x14ac:dyDescent="0.3">
      <c r="C6" s="6" t="s">
        <v>0</v>
      </c>
      <c r="D6" s="380" t="str">
        <f>IF('Project Information'!E6=0, "-",'Project Information'!E6)</f>
        <v>-</v>
      </c>
      <c r="E6" s="380"/>
    </row>
    <row r="7" spans="2:8" x14ac:dyDescent="0.3">
      <c r="C7" s="6" t="s">
        <v>1</v>
      </c>
      <c r="D7" s="380" t="str">
        <f>IF('Project Information'!E7=0, "-",'Project Information'!E7)</f>
        <v>-</v>
      </c>
      <c r="E7" s="380"/>
    </row>
    <row r="8" spans="2:8" x14ac:dyDescent="0.3">
      <c r="D8" s="6"/>
    </row>
    <row r="9" spans="2:8" x14ac:dyDescent="0.3">
      <c r="D9" s="6"/>
    </row>
    <row r="10" spans="2:8" ht="30" customHeight="1" x14ac:dyDescent="0.3">
      <c r="B10" s="54">
        <v>1</v>
      </c>
      <c r="C10" s="19" t="s">
        <v>261</v>
      </c>
      <c r="D10" s="355"/>
      <c r="E10" s="355"/>
    </row>
    <row r="11" spans="2:8" ht="17.25" customHeight="1" x14ac:dyDescent="0.3">
      <c r="B11" s="54"/>
      <c r="C11" s="2"/>
      <c r="D11" s="3"/>
    </row>
    <row r="12" spans="2:8" ht="28.95" customHeight="1" x14ac:dyDescent="0.3">
      <c r="B12" s="4">
        <v>2</v>
      </c>
      <c r="C12" s="317" t="s">
        <v>382</v>
      </c>
      <c r="D12" s="317"/>
      <c r="E12" s="317"/>
      <c r="F12" s="106"/>
      <c r="G12" s="225"/>
      <c r="H12" s="117"/>
    </row>
    <row r="13" spans="2:8" ht="14.4" customHeight="1" x14ac:dyDescent="0.3">
      <c r="C13" s="7"/>
      <c r="D13" s="20" t="s">
        <v>440</v>
      </c>
      <c r="E13" s="123" t="str">
        <f>IF('Project Information'!F11=0,"-",'Project Information'!F11)</f>
        <v>-</v>
      </c>
      <c r="H13" s="117"/>
    </row>
    <row r="14" spans="2:8" ht="14.4" customHeight="1" x14ac:dyDescent="0.3">
      <c r="C14" s="7"/>
      <c r="D14" s="20" t="s">
        <v>6</v>
      </c>
      <c r="E14" s="293" t="str">
        <f>IF('Project Information'!F12=0,"-",'Project Information'!F12)</f>
        <v>-</v>
      </c>
      <c r="H14" s="117"/>
    </row>
    <row r="15" spans="2:8" ht="14.4" customHeight="1" x14ac:dyDescent="0.3">
      <c r="C15" s="7"/>
      <c r="D15" s="20" t="s">
        <v>297</v>
      </c>
      <c r="E15" s="293" t="str">
        <f>IF('Project Information'!F13=0,"-",'Project Information'!F13)</f>
        <v>-</v>
      </c>
      <c r="H15" s="125"/>
    </row>
    <row r="16" spans="2:8" ht="14.4" customHeight="1" x14ac:dyDescent="0.3">
      <c r="C16" s="7"/>
      <c r="D16" s="20" t="s">
        <v>441</v>
      </c>
      <c r="E16" s="293" t="str">
        <f>IF('Project Information'!F14=0,"-",'Project Information'!F14)</f>
        <v>-</v>
      </c>
      <c r="H16" s="125"/>
    </row>
    <row r="17" spans="2:8" ht="14.4" customHeight="1" x14ac:dyDescent="0.3">
      <c r="C17" s="7"/>
      <c r="D17" s="20" t="s">
        <v>442</v>
      </c>
      <c r="E17" s="293" t="str">
        <f>IF('Project Information'!F15=0,"-",'Project Information'!F15)</f>
        <v>-</v>
      </c>
      <c r="H17" s="125"/>
    </row>
    <row r="18" spans="2:8" ht="14.4" customHeight="1" x14ac:dyDescent="0.3">
      <c r="C18" s="7"/>
      <c r="D18" s="20" t="s">
        <v>443</v>
      </c>
      <c r="E18" s="293" t="str">
        <f>IF('Project Information'!F16=0,"-",'Project Information'!F16)</f>
        <v>-</v>
      </c>
      <c r="H18" s="125"/>
    </row>
    <row r="21" spans="2:8" x14ac:dyDescent="0.3">
      <c r="B21" s="55" t="s">
        <v>8</v>
      </c>
      <c r="C21" s="82"/>
      <c r="D21" s="82"/>
      <c r="E21" s="82"/>
      <c r="F21" s="100"/>
    </row>
    <row r="22" spans="2:8" x14ac:dyDescent="0.3">
      <c r="B22" s="58"/>
      <c r="C22" s="7"/>
      <c r="D22" s="7"/>
      <c r="E22" s="7"/>
      <c r="F22" s="75"/>
    </row>
    <row r="23" spans="2:8" x14ac:dyDescent="0.3">
      <c r="B23" s="56" t="s">
        <v>13</v>
      </c>
      <c r="C23" s="317" t="s">
        <v>62</v>
      </c>
      <c r="D23" s="317"/>
      <c r="E23" s="317"/>
      <c r="F23" s="75"/>
    </row>
    <row r="24" spans="2:8" ht="60" customHeight="1" x14ac:dyDescent="0.3">
      <c r="B24" s="57"/>
      <c r="C24" s="447"/>
      <c r="D24" s="448"/>
      <c r="E24" s="449"/>
      <c r="F24" s="75"/>
      <c r="G24" s="225"/>
    </row>
    <row r="25" spans="2:8" x14ac:dyDescent="0.3">
      <c r="B25" s="59"/>
      <c r="C25" s="132"/>
      <c r="D25" s="132"/>
      <c r="E25" s="132"/>
      <c r="F25" s="99"/>
    </row>
    <row r="27" spans="2:8" x14ac:dyDescent="0.3">
      <c r="B27" s="55" t="s">
        <v>14</v>
      </c>
      <c r="C27" s="82"/>
      <c r="D27" s="82"/>
      <c r="E27" s="82"/>
      <c r="F27" s="100"/>
    </row>
    <row r="28" spans="2:8" x14ac:dyDescent="0.3">
      <c r="B28" s="58"/>
      <c r="C28" s="7"/>
      <c r="D28" s="7"/>
      <c r="E28" s="7"/>
      <c r="F28" s="75"/>
    </row>
    <row r="29" spans="2:8" x14ac:dyDescent="0.3">
      <c r="B29" s="56" t="s">
        <v>15</v>
      </c>
      <c r="C29" s="317" t="s">
        <v>63</v>
      </c>
      <c r="D29" s="317"/>
      <c r="E29" s="317"/>
      <c r="F29" s="75"/>
    </row>
    <row r="30" spans="2:8" ht="60" customHeight="1" x14ac:dyDescent="0.3">
      <c r="B30" s="57"/>
      <c r="C30" s="447"/>
      <c r="D30" s="448"/>
      <c r="E30" s="449"/>
      <c r="F30" s="75"/>
    </row>
    <row r="31" spans="2:8" x14ac:dyDescent="0.3">
      <c r="B31" s="59"/>
      <c r="C31" s="132"/>
      <c r="D31" s="132"/>
      <c r="E31" s="132"/>
      <c r="F31" s="99"/>
    </row>
    <row r="33" spans="2:6" x14ac:dyDescent="0.3">
      <c r="B33" s="55" t="s">
        <v>24</v>
      </c>
      <c r="C33" s="82"/>
      <c r="D33" s="82"/>
      <c r="E33" s="82"/>
      <c r="F33" s="100"/>
    </row>
    <row r="34" spans="2:6" x14ac:dyDescent="0.3">
      <c r="B34" s="58"/>
      <c r="C34" s="7"/>
      <c r="D34" s="7"/>
      <c r="E34" s="7"/>
      <c r="F34" s="75"/>
    </row>
    <row r="35" spans="2:6" x14ac:dyDescent="0.3">
      <c r="B35" s="56" t="s">
        <v>25</v>
      </c>
      <c r="C35" s="317" t="s">
        <v>64</v>
      </c>
      <c r="D35" s="317"/>
      <c r="E35" s="317"/>
      <c r="F35" s="75"/>
    </row>
    <row r="36" spans="2:6" ht="60" customHeight="1" x14ac:dyDescent="0.3">
      <c r="B36" s="57"/>
      <c r="C36" s="447"/>
      <c r="D36" s="448"/>
      <c r="E36" s="449"/>
      <c r="F36" s="75"/>
    </row>
    <row r="37" spans="2:6" x14ac:dyDescent="0.3">
      <c r="B37" s="59"/>
      <c r="C37" s="132"/>
      <c r="D37" s="132"/>
      <c r="E37" s="132"/>
      <c r="F37" s="99"/>
    </row>
    <row r="39" spans="2:6" x14ac:dyDescent="0.3">
      <c r="B39" s="55" t="s">
        <v>65</v>
      </c>
      <c r="C39" s="82"/>
      <c r="D39" s="82"/>
      <c r="E39" s="82"/>
      <c r="F39" s="100"/>
    </row>
    <row r="40" spans="2:6" x14ac:dyDescent="0.3">
      <c r="B40" s="58"/>
      <c r="C40" s="7"/>
      <c r="D40" s="7"/>
      <c r="E40" s="7"/>
      <c r="F40" s="75"/>
    </row>
    <row r="41" spans="2:6" x14ac:dyDescent="0.3">
      <c r="B41" s="56" t="s">
        <v>49</v>
      </c>
      <c r="C41" s="317" t="s">
        <v>66</v>
      </c>
      <c r="D41" s="317"/>
      <c r="E41" s="317"/>
      <c r="F41" s="75"/>
    </row>
    <row r="42" spans="2:6" ht="60" customHeight="1" x14ac:dyDescent="0.3">
      <c r="B42" s="57"/>
      <c r="C42" s="447"/>
      <c r="D42" s="448"/>
      <c r="E42" s="449"/>
      <c r="F42" s="75"/>
    </row>
    <row r="43" spans="2:6" x14ac:dyDescent="0.3">
      <c r="B43" s="59"/>
      <c r="C43" s="132"/>
      <c r="D43" s="132"/>
      <c r="E43" s="132"/>
      <c r="F43" s="99"/>
    </row>
  </sheetData>
  <mergeCells count="13">
    <mergeCell ref="C23:E23"/>
    <mergeCell ref="C29:E29"/>
    <mergeCell ref="C24:E24"/>
    <mergeCell ref="D5:E5"/>
    <mergeCell ref="D6:E6"/>
    <mergeCell ref="D7:E7"/>
    <mergeCell ref="D10:E10"/>
    <mergeCell ref="C12:E12"/>
    <mergeCell ref="C30:E30"/>
    <mergeCell ref="C35:E35"/>
    <mergeCell ref="C36:E36"/>
    <mergeCell ref="C41:E41"/>
    <mergeCell ref="C42:E42"/>
  </mergeCells>
  <conditionalFormatting sqref="B25:E25">
    <cfRule type="expression" dxfId="23" priority="7">
      <formula>"($C$15='NO')"</formula>
    </cfRule>
  </conditionalFormatting>
  <conditionalFormatting sqref="B21:E22 B23:B24">
    <cfRule type="expression" dxfId="22" priority="8">
      <formula>"($C$15='NO')"</formula>
    </cfRule>
  </conditionalFormatting>
  <conditionalFormatting sqref="B31:E31">
    <cfRule type="expression" dxfId="21" priority="5">
      <formula>"($C$15='NO')"</formula>
    </cfRule>
  </conditionalFormatting>
  <conditionalFormatting sqref="B27:E28 B29:B30">
    <cfRule type="expression" dxfId="20" priority="6">
      <formula>"($C$15='NO')"</formula>
    </cfRule>
  </conditionalFormatting>
  <conditionalFormatting sqref="B37:E37">
    <cfRule type="expression" dxfId="19" priority="3">
      <formula>"($C$15='NO')"</formula>
    </cfRule>
  </conditionalFormatting>
  <conditionalFormatting sqref="B33:E34 B35:B36">
    <cfRule type="expression" dxfId="18" priority="4">
      <formula>"($C$15='NO')"</formula>
    </cfRule>
  </conditionalFormatting>
  <conditionalFormatting sqref="B43:E43">
    <cfRule type="expression" dxfId="17" priority="1">
      <formula>"($C$15='NO')"</formula>
    </cfRule>
  </conditionalFormatting>
  <conditionalFormatting sqref="B39:E40 B41:B42">
    <cfRule type="expression" dxfId="16" priority="2">
      <formula>"($C$15='NO')"</formula>
    </cfRule>
  </conditionalFormatting>
  <dataValidations count="1">
    <dataValidation type="whole" allowBlank="1" showInputMessage="1" showErrorMessage="1" sqref="D10">
      <formula1>0</formula1>
      <formula2>10000000</formula2>
    </dataValidation>
  </dataValidations>
  <pageMargins left="0.7" right="0.7" top="0.75" bottom="0.75" header="0.3" footer="0.3"/>
  <pageSetup scale="88" orientation="portrait" r:id="rId1"/>
  <rowBreaks count="1" manualBreakCount="1">
    <brk id="32" max="16383" man="1"/>
  </rowBreaks>
  <ignoredErrors>
    <ignoredError sqref="D5:E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FF"/>
    <pageSetUpPr fitToPage="1"/>
  </sheetPr>
  <dimension ref="A1:G9"/>
  <sheetViews>
    <sheetView zoomScale="120" zoomScaleNormal="120" workbookViewId="0">
      <selection activeCell="F5" sqref="F5"/>
    </sheetView>
  </sheetViews>
  <sheetFormatPr defaultColWidth="8.88671875" defaultRowHeight="14.4" x14ac:dyDescent="0.3"/>
  <cols>
    <col min="1" max="1" width="1.6640625" style="4" customWidth="1"/>
    <col min="2" max="2" width="12.88671875" style="4" customWidth="1"/>
    <col min="3" max="3" width="44.88671875" style="4" customWidth="1"/>
    <col min="4" max="4" width="11.44140625" style="4" customWidth="1"/>
    <col min="5" max="5" width="31.6640625" style="4" customWidth="1"/>
    <col min="6" max="6" width="1.5546875" style="4" customWidth="1"/>
    <col min="7" max="7" width="1.33203125" style="4" customWidth="1"/>
    <col min="8" max="8" width="132.6640625" style="4" bestFit="1" customWidth="1"/>
    <col min="9" max="16384" width="8.88671875" style="4"/>
  </cols>
  <sheetData>
    <row r="1" spans="1:7" x14ac:dyDescent="0.3">
      <c r="A1" s="7"/>
      <c r="B1" s="7"/>
      <c r="C1" s="212" t="s">
        <v>488</v>
      </c>
      <c r="D1" s="162"/>
      <c r="E1" s="162"/>
      <c r="F1" s="7"/>
      <c r="G1" s="7"/>
    </row>
    <row r="2" spans="1:7" ht="25.8" x14ac:dyDescent="0.3">
      <c r="A2" s="7"/>
      <c r="B2" s="7"/>
      <c r="C2" s="316" t="s">
        <v>536</v>
      </c>
      <c r="D2" s="316"/>
      <c r="E2" s="316"/>
      <c r="F2" s="7"/>
      <c r="G2" s="7"/>
    </row>
    <row r="3" spans="1:7" ht="31.2" customHeight="1" x14ac:dyDescent="0.3">
      <c r="A3" s="7"/>
      <c r="B3" s="7"/>
      <c r="C3" s="162"/>
      <c r="D3" s="162"/>
      <c r="E3" s="162"/>
      <c r="F3" s="7"/>
      <c r="G3" s="7"/>
    </row>
    <row r="4" spans="1:7" x14ac:dyDescent="0.3">
      <c r="A4" s="7"/>
      <c r="B4" s="336" t="s">
        <v>511</v>
      </c>
      <c r="C4" s="337"/>
      <c r="D4" s="337"/>
      <c r="E4" s="338"/>
      <c r="F4" s="7"/>
      <c r="G4" s="7"/>
    </row>
    <row r="5" spans="1:7" ht="154.94999999999999" customHeight="1" x14ac:dyDescent="0.3">
      <c r="A5" s="7"/>
      <c r="B5" s="330" t="s">
        <v>605</v>
      </c>
      <c r="C5" s="331"/>
      <c r="D5" s="331"/>
      <c r="E5" s="332"/>
      <c r="F5" s="7"/>
      <c r="G5" s="7"/>
    </row>
    <row r="6" spans="1:7" x14ac:dyDescent="0.3">
      <c r="A6" s="7"/>
      <c r="B6" s="339" t="s">
        <v>512</v>
      </c>
      <c r="C6" s="340"/>
      <c r="D6" s="340"/>
      <c r="E6" s="341"/>
      <c r="F6" s="7"/>
      <c r="G6" s="7"/>
    </row>
    <row r="7" spans="1:7" ht="69" customHeight="1" x14ac:dyDescent="0.3">
      <c r="A7" s="7"/>
      <c r="B7" s="333" t="s">
        <v>514</v>
      </c>
      <c r="C7" s="334"/>
      <c r="D7" s="334"/>
      <c r="E7" s="335"/>
      <c r="G7" s="7"/>
    </row>
    <row r="8" spans="1:7" x14ac:dyDescent="0.3">
      <c r="A8" s="7"/>
      <c r="B8" s="342" t="s">
        <v>513</v>
      </c>
      <c r="C8" s="343"/>
      <c r="D8" s="343"/>
      <c r="E8" s="344"/>
      <c r="G8" s="7"/>
    </row>
    <row r="9" spans="1:7" ht="65.400000000000006" customHeight="1" x14ac:dyDescent="0.3">
      <c r="B9" s="327" t="s">
        <v>520</v>
      </c>
      <c r="C9" s="328"/>
      <c r="D9" s="328"/>
      <c r="E9" s="329"/>
    </row>
  </sheetData>
  <mergeCells count="7">
    <mergeCell ref="B9:E9"/>
    <mergeCell ref="C2:E2"/>
    <mergeCell ref="B5:E5"/>
    <mergeCell ref="B7:E7"/>
    <mergeCell ref="B4:E4"/>
    <mergeCell ref="B6:E6"/>
    <mergeCell ref="B8:E8"/>
  </mergeCells>
  <printOptions horizontalCentered="1"/>
  <pageMargins left="0.7" right="0.7" top="0.75" bottom="0.75" header="0.3" footer="0.3"/>
  <pageSetup scale="8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FF"/>
    <pageSetUpPr fitToPage="1"/>
  </sheetPr>
  <dimension ref="A1:N17"/>
  <sheetViews>
    <sheetView zoomScaleNormal="100" workbookViewId="0">
      <selection activeCell="B14" sqref="B14"/>
    </sheetView>
  </sheetViews>
  <sheetFormatPr defaultColWidth="8.88671875" defaultRowHeight="14.4" x14ac:dyDescent="0.3"/>
  <cols>
    <col min="1" max="1" width="20.5546875" style="4" customWidth="1"/>
    <col min="2" max="2" width="45" style="4" customWidth="1"/>
    <col min="3" max="3" width="10.33203125" style="211" hidden="1" customWidth="1"/>
    <col min="4" max="4" width="12" style="211" hidden="1" customWidth="1"/>
    <col min="5" max="7" width="0" style="211" hidden="1" customWidth="1"/>
    <col min="8" max="8" width="12.44140625" style="211" hidden="1" customWidth="1"/>
    <col min="9" max="9" width="14.5546875" style="211" bestFit="1" customWidth="1"/>
    <col min="10" max="10" width="8.88671875" style="211"/>
    <col min="11" max="11" width="12.109375" style="211" customWidth="1"/>
    <col min="12" max="14" width="8.88671875" style="211"/>
    <col min="15" max="16384" width="8.88671875" style="4"/>
  </cols>
  <sheetData>
    <row r="1" spans="1:14" ht="31.2" customHeight="1" x14ac:dyDescent="0.3">
      <c r="B1" s="212" t="s">
        <v>488</v>
      </c>
      <c r="C1" s="162"/>
      <c r="D1" s="162"/>
    </row>
    <row r="2" spans="1:14" ht="25.8" x14ac:dyDescent="0.3">
      <c r="B2" s="316" t="s">
        <v>535</v>
      </c>
      <c r="C2" s="316"/>
      <c r="D2" s="316"/>
    </row>
    <row r="3" spans="1:14" ht="25.8" x14ac:dyDescent="0.3">
      <c r="B3" s="209"/>
      <c r="C3" s="209"/>
      <c r="D3" s="209"/>
    </row>
    <row r="4" spans="1:14" ht="14.4" customHeight="1" x14ac:dyDescent="0.3">
      <c r="A4" s="347" t="s">
        <v>489</v>
      </c>
      <c r="B4" s="347" t="s">
        <v>490</v>
      </c>
      <c r="C4" s="348" t="s">
        <v>491</v>
      </c>
      <c r="D4" s="348"/>
      <c r="E4" s="348"/>
      <c r="F4" s="348"/>
      <c r="G4" s="348"/>
      <c r="H4" s="348"/>
      <c r="I4" s="348"/>
      <c r="J4" s="348"/>
      <c r="K4" s="348"/>
      <c r="L4" s="348"/>
      <c r="M4" s="348"/>
      <c r="N4" s="348"/>
    </row>
    <row r="5" spans="1:14" x14ac:dyDescent="0.3">
      <c r="A5" s="347"/>
      <c r="B5" s="347"/>
      <c r="C5" s="230">
        <v>1</v>
      </c>
      <c r="D5" s="230">
        <f>C5+1</f>
        <v>2</v>
      </c>
      <c r="E5" s="230">
        <f t="shared" ref="E5:N5" si="0">D5+1</f>
        <v>3</v>
      </c>
      <c r="F5" s="230">
        <f t="shared" si="0"/>
        <v>4</v>
      </c>
      <c r="G5" s="230">
        <f t="shared" si="0"/>
        <v>5</v>
      </c>
      <c r="H5" s="230">
        <f t="shared" si="0"/>
        <v>6</v>
      </c>
      <c r="I5" s="230">
        <f t="shared" si="0"/>
        <v>7</v>
      </c>
      <c r="J5" s="230">
        <f t="shared" si="0"/>
        <v>8</v>
      </c>
      <c r="K5" s="230">
        <f t="shared" si="0"/>
        <v>9</v>
      </c>
      <c r="L5" s="230">
        <f t="shared" si="0"/>
        <v>10</v>
      </c>
      <c r="M5" s="230">
        <f t="shared" si="0"/>
        <v>11</v>
      </c>
      <c r="N5" s="230">
        <f t="shared" si="0"/>
        <v>12</v>
      </c>
    </row>
    <row r="6" spans="1:14" s="2" customFormat="1" ht="28.8" x14ac:dyDescent="0.3">
      <c r="A6" s="347"/>
      <c r="B6" s="347"/>
      <c r="C6" s="231" t="s">
        <v>492</v>
      </c>
      <c r="D6" s="231" t="s">
        <v>493</v>
      </c>
      <c r="E6" s="231" t="s">
        <v>494</v>
      </c>
      <c r="F6" s="231" t="s">
        <v>45</v>
      </c>
      <c r="G6" s="231" t="s">
        <v>495</v>
      </c>
      <c r="H6" s="231" t="s">
        <v>496</v>
      </c>
      <c r="I6" s="231" t="s">
        <v>600</v>
      </c>
      <c r="J6" s="231" t="s">
        <v>497</v>
      </c>
      <c r="K6" s="231" t="s">
        <v>498</v>
      </c>
      <c r="L6" s="231" t="s">
        <v>11</v>
      </c>
      <c r="M6" s="231" t="s">
        <v>499</v>
      </c>
      <c r="N6" s="231" t="s">
        <v>12</v>
      </c>
    </row>
    <row r="7" spans="1:14" x14ac:dyDescent="0.3">
      <c r="A7" s="349" t="s">
        <v>515</v>
      </c>
      <c r="B7" s="232" t="s">
        <v>500</v>
      </c>
      <c r="C7" s="233" t="s">
        <v>501</v>
      </c>
      <c r="D7" s="233" t="s">
        <v>501</v>
      </c>
      <c r="E7" s="233" t="s">
        <v>501</v>
      </c>
      <c r="F7" s="233" t="s">
        <v>501</v>
      </c>
      <c r="G7" s="233" t="s">
        <v>501</v>
      </c>
      <c r="H7" s="233" t="s">
        <v>501</v>
      </c>
      <c r="I7" s="233" t="s">
        <v>501</v>
      </c>
      <c r="J7" s="233" t="s">
        <v>501</v>
      </c>
      <c r="K7" s="233" t="s">
        <v>501</v>
      </c>
      <c r="L7" s="233" t="s">
        <v>501</v>
      </c>
      <c r="M7" s="233" t="s">
        <v>501</v>
      </c>
      <c r="N7" s="233" t="s">
        <v>501</v>
      </c>
    </row>
    <row r="8" spans="1:14" x14ac:dyDescent="0.3">
      <c r="A8" s="349"/>
      <c r="B8" s="232" t="s">
        <v>502</v>
      </c>
      <c r="C8" s="233"/>
      <c r="D8" s="233"/>
      <c r="E8" s="233"/>
      <c r="F8" s="233"/>
      <c r="G8" s="233"/>
      <c r="H8" s="233"/>
      <c r="I8" s="233"/>
      <c r="J8" s="233"/>
      <c r="K8" s="233"/>
      <c r="L8" s="233" t="s">
        <v>501</v>
      </c>
      <c r="M8" s="233" t="s">
        <v>501</v>
      </c>
      <c r="N8" s="233"/>
    </row>
    <row r="9" spans="1:14" hidden="1" x14ac:dyDescent="0.3">
      <c r="A9" s="349"/>
      <c r="B9" s="232" t="s">
        <v>503</v>
      </c>
      <c r="C9" s="233" t="s">
        <v>501</v>
      </c>
      <c r="D9" s="233" t="s">
        <v>501</v>
      </c>
      <c r="E9" s="233"/>
      <c r="F9" s="233" t="s">
        <v>501</v>
      </c>
      <c r="G9" s="233"/>
      <c r="H9" s="233"/>
      <c r="I9" s="233"/>
      <c r="J9" s="233"/>
      <c r="K9" s="233"/>
      <c r="L9" s="233"/>
      <c r="M9" s="233"/>
      <c r="N9" s="233"/>
    </row>
    <row r="10" spans="1:14" x14ac:dyDescent="0.3">
      <c r="A10" s="345" t="s">
        <v>504</v>
      </c>
      <c r="B10" s="234" t="s">
        <v>538</v>
      </c>
      <c r="C10" s="235"/>
      <c r="D10" s="235"/>
      <c r="E10" s="235"/>
      <c r="F10" s="235"/>
      <c r="G10" s="235"/>
      <c r="H10" s="235"/>
      <c r="I10" s="235"/>
      <c r="J10" s="235"/>
      <c r="K10" s="235"/>
      <c r="L10" s="235" t="s">
        <v>501</v>
      </c>
      <c r="M10" s="235" t="s">
        <v>501</v>
      </c>
      <c r="N10" s="235"/>
    </row>
    <row r="11" spans="1:14" x14ac:dyDescent="0.3">
      <c r="A11" s="345"/>
      <c r="B11" s="234" t="s">
        <v>539</v>
      </c>
      <c r="C11" s="235"/>
      <c r="D11" s="235"/>
      <c r="E11" s="235"/>
      <c r="F11" s="235"/>
      <c r="G11" s="235"/>
      <c r="H11" s="235"/>
      <c r="I11" s="235"/>
      <c r="J11" s="235"/>
      <c r="K11" s="235"/>
      <c r="L11" s="235" t="s">
        <v>501</v>
      </c>
      <c r="M11" s="235" t="s">
        <v>501</v>
      </c>
      <c r="N11" s="235"/>
    </row>
    <row r="12" spans="1:14" x14ac:dyDescent="0.3">
      <c r="A12" s="345"/>
      <c r="B12" s="234" t="s">
        <v>540</v>
      </c>
      <c r="C12" s="301"/>
      <c r="D12" s="301"/>
      <c r="E12" s="301"/>
      <c r="F12" s="301"/>
      <c r="G12" s="301"/>
      <c r="H12" s="301"/>
      <c r="I12" s="301"/>
      <c r="J12" s="301"/>
      <c r="K12" s="301"/>
      <c r="L12" s="301" t="s">
        <v>501</v>
      </c>
      <c r="M12" s="301" t="s">
        <v>501</v>
      </c>
      <c r="N12" s="301"/>
    </row>
    <row r="13" spans="1:14" x14ac:dyDescent="0.3">
      <c r="A13" s="345"/>
      <c r="B13" s="234" t="s">
        <v>644</v>
      </c>
      <c r="C13" s="235"/>
      <c r="D13" s="235"/>
      <c r="E13" s="235"/>
      <c r="F13" s="235"/>
      <c r="G13" s="235"/>
      <c r="H13" s="235"/>
      <c r="I13" s="235" t="s">
        <v>501</v>
      </c>
      <c r="J13" s="235"/>
      <c r="K13" s="235"/>
      <c r="L13" s="235" t="s">
        <v>501</v>
      </c>
      <c r="M13" s="235" t="s">
        <v>501</v>
      </c>
      <c r="N13" s="235"/>
    </row>
    <row r="14" spans="1:14" ht="28.8" x14ac:dyDescent="0.3">
      <c r="A14" s="236" t="s">
        <v>505</v>
      </c>
      <c r="B14" s="237" t="s">
        <v>506</v>
      </c>
      <c r="C14" s="238"/>
      <c r="D14" s="238" t="s">
        <v>501</v>
      </c>
      <c r="E14" s="238" t="s">
        <v>501</v>
      </c>
      <c r="F14" s="238" t="s">
        <v>501</v>
      </c>
      <c r="G14" s="238"/>
      <c r="H14" s="238"/>
      <c r="I14" s="238" t="s">
        <v>501</v>
      </c>
      <c r="J14" s="238"/>
      <c r="K14" s="238" t="s">
        <v>501</v>
      </c>
      <c r="L14" s="238"/>
      <c r="M14" s="238"/>
      <c r="N14" s="238"/>
    </row>
    <row r="15" spans="1:14" x14ac:dyDescent="0.3">
      <c r="A15" s="346" t="s">
        <v>507</v>
      </c>
      <c r="B15" s="239" t="s">
        <v>508</v>
      </c>
      <c r="C15" s="240" t="s">
        <v>501</v>
      </c>
      <c r="D15" s="240" t="s">
        <v>501</v>
      </c>
      <c r="E15" s="240"/>
      <c r="F15" s="240" t="s">
        <v>501</v>
      </c>
      <c r="G15" s="240" t="s">
        <v>501</v>
      </c>
      <c r="H15" s="240"/>
      <c r="I15" s="240" t="s">
        <v>501</v>
      </c>
      <c r="J15" s="240"/>
      <c r="K15" s="240"/>
      <c r="L15" s="240" t="s">
        <v>501</v>
      </c>
      <c r="M15" s="240" t="s">
        <v>501</v>
      </c>
      <c r="N15" s="240"/>
    </row>
    <row r="16" spans="1:14" x14ac:dyDescent="0.3">
      <c r="A16" s="346"/>
      <c r="B16" s="239" t="s">
        <v>509</v>
      </c>
      <c r="C16" s="240" t="s">
        <v>501</v>
      </c>
      <c r="D16" s="240" t="s">
        <v>501</v>
      </c>
      <c r="E16" s="240"/>
      <c r="F16" s="240" t="s">
        <v>501</v>
      </c>
      <c r="G16" s="240" t="s">
        <v>501</v>
      </c>
      <c r="H16" s="240"/>
      <c r="I16" s="240" t="s">
        <v>501</v>
      </c>
      <c r="J16" s="240"/>
      <c r="K16" s="240"/>
      <c r="L16" s="240"/>
      <c r="M16" s="240"/>
      <c r="N16" s="240"/>
    </row>
    <row r="17" spans="1:14" x14ac:dyDescent="0.3">
      <c r="A17" s="346"/>
      <c r="B17" s="239" t="s">
        <v>510</v>
      </c>
      <c r="C17" s="240"/>
      <c r="D17" s="240"/>
      <c r="E17" s="240"/>
      <c r="F17" s="240"/>
      <c r="G17" s="240"/>
      <c r="H17" s="240"/>
      <c r="I17" s="240"/>
      <c r="J17" s="240"/>
      <c r="K17" s="240"/>
      <c r="L17" s="240" t="s">
        <v>501</v>
      </c>
      <c r="M17" s="240" t="s">
        <v>501</v>
      </c>
      <c r="N17" s="240"/>
    </row>
  </sheetData>
  <mergeCells count="7">
    <mergeCell ref="A10:A13"/>
    <mergeCell ref="A15:A17"/>
    <mergeCell ref="B2:D2"/>
    <mergeCell ref="A4:A6"/>
    <mergeCell ref="B4:B6"/>
    <mergeCell ref="C4:N4"/>
    <mergeCell ref="A7:A9"/>
  </mergeCells>
  <pageMargins left="0.25" right="0.25" top="0.75" bottom="0.75" header="0.3" footer="0.3"/>
  <pageSetup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66FF"/>
  </sheetPr>
  <dimension ref="C1:K28"/>
  <sheetViews>
    <sheetView topLeftCell="A12" zoomScale="110" zoomScaleNormal="110" workbookViewId="0">
      <selection activeCell="C23" sqref="C23"/>
    </sheetView>
  </sheetViews>
  <sheetFormatPr defaultColWidth="8.88671875" defaultRowHeight="14.4" x14ac:dyDescent="0.3"/>
  <cols>
    <col min="1" max="2" width="8.88671875" style="4"/>
    <col min="3" max="3" width="29" style="4" customWidth="1"/>
    <col min="4" max="4" width="32" style="4" customWidth="1"/>
    <col min="5" max="5" width="13" style="4" customWidth="1"/>
    <col min="6" max="7" width="8.88671875" style="4"/>
    <col min="8" max="8" width="27.88671875" style="4" customWidth="1"/>
    <col min="9" max="10" width="20.5546875" style="4" customWidth="1"/>
    <col min="11" max="11" width="20.6640625" style="4" customWidth="1"/>
    <col min="12" max="16384" width="8.88671875" style="4"/>
  </cols>
  <sheetData>
    <row r="1" spans="3:11" x14ac:dyDescent="0.3">
      <c r="C1" s="277" t="s">
        <v>488</v>
      </c>
    </row>
    <row r="2" spans="3:11" ht="30.75" customHeight="1" x14ac:dyDescent="0.3">
      <c r="C2" s="270" t="s">
        <v>541</v>
      </c>
    </row>
    <row r="6" spans="3:11" x14ac:dyDescent="0.3">
      <c r="C6" s="271" t="s">
        <v>557</v>
      </c>
      <c r="H6" s="271" t="s">
        <v>554</v>
      </c>
    </row>
    <row r="7" spans="3:11" x14ac:dyDescent="0.3">
      <c r="C7" s="272" t="s">
        <v>544</v>
      </c>
      <c r="D7" s="272" t="s">
        <v>542</v>
      </c>
      <c r="E7" s="272" t="s">
        <v>543</v>
      </c>
      <c r="H7" s="272" t="s">
        <v>544</v>
      </c>
      <c r="I7" s="272" t="s">
        <v>542</v>
      </c>
      <c r="J7" s="272" t="s">
        <v>543</v>
      </c>
    </row>
    <row r="8" spans="3:11" x14ac:dyDescent="0.3">
      <c r="C8" s="350" t="s">
        <v>88</v>
      </c>
      <c r="D8" s="261" t="s">
        <v>81</v>
      </c>
      <c r="E8" s="262">
        <f>1455000*1.02*1.02</f>
        <v>1513782</v>
      </c>
      <c r="H8" s="265" t="s">
        <v>553</v>
      </c>
      <c r="I8" s="67" t="s">
        <v>103</v>
      </c>
      <c r="J8" s="67">
        <v>1.59</v>
      </c>
    </row>
    <row r="9" spans="3:11" ht="24" x14ac:dyDescent="0.3">
      <c r="C9" s="350"/>
      <c r="D9" s="261" t="s">
        <v>86</v>
      </c>
      <c r="E9" s="269">
        <f>71400*1.02^2</f>
        <v>74284.56</v>
      </c>
      <c r="H9" s="264" t="s">
        <v>341</v>
      </c>
      <c r="I9" s="67" t="s">
        <v>552</v>
      </c>
      <c r="J9" s="269">
        <f>(12.5+18)/2</f>
        <v>15.25</v>
      </c>
    </row>
    <row r="10" spans="3:11" ht="24" x14ac:dyDescent="0.3">
      <c r="C10" s="350"/>
      <c r="D10" s="261" t="s">
        <v>85</v>
      </c>
      <c r="E10" s="269">
        <f>23000*1.02^2</f>
        <v>23929.200000000001</v>
      </c>
      <c r="H10" s="264" t="s">
        <v>108</v>
      </c>
      <c r="I10" s="67" t="s">
        <v>563</v>
      </c>
      <c r="J10" s="269">
        <v>27426</v>
      </c>
    </row>
    <row r="11" spans="3:11" ht="24" x14ac:dyDescent="0.3">
      <c r="C11" s="350"/>
      <c r="D11" s="261" t="s">
        <v>87</v>
      </c>
      <c r="E11" s="269">
        <f>13000*1.02^2</f>
        <v>13525.2</v>
      </c>
      <c r="H11" s="264" t="s">
        <v>448</v>
      </c>
      <c r="I11" s="67" t="s">
        <v>207</v>
      </c>
      <c r="J11" s="67">
        <v>27.2</v>
      </c>
    </row>
    <row r="12" spans="3:11" ht="48" x14ac:dyDescent="0.3">
      <c r="C12" s="350"/>
      <c r="D12" s="261" t="s">
        <v>83</v>
      </c>
      <c r="E12" s="269">
        <f>9200*1.02^2</f>
        <v>9571.68</v>
      </c>
      <c r="H12" s="263" t="s">
        <v>567</v>
      </c>
      <c r="I12" s="261" t="s">
        <v>204</v>
      </c>
      <c r="J12" s="273">
        <v>16</v>
      </c>
    </row>
    <row r="13" spans="3:11" ht="36" x14ac:dyDescent="0.3">
      <c r="C13" s="351" t="s">
        <v>91</v>
      </c>
      <c r="D13" s="67" t="s">
        <v>547</v>
      </c>
      <c r="E13" s="67">
        <v>0.96</v>
      </c>
      <c r="H13" s="264" t="s">
        <v>566</v>
      </c>
      <c r="I13" s="67" t="s">
        <v>207</v>
      </c>
      <c r="J13" s="67">
        <v>37.25</v>
      </c>
    </row>
    <row r="14" spans="3:11" x14ac:dyDescent="0.3">
      <c r="C14" s="351"/>
      <c r="D14" s="67" t="s">
        <v>548</v>
      </c>
      <c r="E14" s="67">
        <v>1.05</v>
      </c>
    </row>
    <row r="15" spans="3:11" ht="24" x14ac:dyDescent="0.3">
      <c r="C15" s="263" t="s">
        <v>558</v>
      </c>
      <c r="D15" s="261" t="s">
        <v>207</v>
      </c>
      <c r="E15" s="274">
        <v>31</v>
      </c>
      <c r="H15" s="271" t="s">
        <v>559</v>
      </c>
    </row>
    <row r="16" spans="3:11" ht="24" customHeight="1" x14ac:dyDescent="0.3">
      <c r="C16" s="263" t="s">
        <v>562</v>
      </c>
      <c r="D16" s="261" t="s">
        <v>207</v>
      </c>
      <c r="E16" s="273">
        <v>10.5</v>
      </c>
      <c r="H16" s="272" t="s">
        <v>544</v>
      </c>
      <c r="I16" s="272" t="s">
        <v>26</v>
      </c>
      <c r="J16" s="272" t="s">
        <v>556</v>
      </c>
      <c r="K16" s="272" t="s">
        <v>256</v>
      </c>
    </row>
    <row r="17" spans="3:11" ht="24" x14ac:dyDescent="0.3">
      <c r="C17" s="263" t="s">
        <v>564</v>
      </c>
      <c r="D17" s="261" t="s">
        <v>204</v>
      </c>
      <c r="E17" s="275">
        <v>20</v>
      </c>
      <c r="H17" s="350" t="s">
        <v>555</v>
      </c>
      <c r="I17" s="261" t="s">
        <v>27</v>
      </c>
      <c r="J17" s="261">
        <v>211</v>
      </c>
      <c r="K17" s="262">
        <v>1253.49</v>
      </c>
    </row>
    <row r="18" spans="3:11" ht="24" x14ac:dyDescent="0.3">
      <c r="C18" s="263" t="s">
        <v>565</v>
      </c>
      <c r="D18" s="261" t="s">
        <v>207</v>
      </c>
      <c r="E18" s="275">
        <f>(30+50)/2</f>
        <v>40</v>
      </c>
      <c r="H18" s="350"/>
      <c r="I18" s="261" t="s">
        <v>28</v>
      </c>
      <c r="J18" s="261">
        <v>1048</v>
      </c>
      <c r="K18" s="262">
        <v>316.20999999999998</v>
      </c>
    </row>
    <row r="19" spans="3:11" x14ac:dyDescent="0.3">
      <c r="H19" s="350"/>
      <c r="I19" s="261" t="s">
        <v>29</v>
      </c>
      <c r="J19" s="261">
        <v>218</v>
      </c>
      <c r="K19" s="269">
        <v>482.33</v>
      </c>
    </row>
    <row r="20" spans="3:11" x14ac:dyDescent="0.3">
      <c r="C20" s="271" t="s">
        <v>560</v>
      </c>
      <c r="H20" s="350"/>
      <c r="I20" s="261" t="s">
        <v>30</v>
      </c>
      <c r="J20" s="261">
        <v>86</v>
      </c>
      <c r="K20" s="269">
        <v>436.82</v>
      </c>
    </row>
    <row r="21" spans="3:11" x14ac:dyDescent="0.3">
      <c r="C21" s="272" t="s">
        <v>544</v>
      </c>
      <c r="D21" s="272" t="s">
        <v>542</v>
      </c>
      <c r="E21" s="272" t="s">
        <v>543</v>
      </c>
      <c r="H21" s="350"/>
      <c r="I21" s="261" t="s">
        <v>32</v>
      </c>
      <c r="J21" s="261">
        <v>23</v>
      </c>
      <c r="K21" s="269">
        <v>444.35</v>
      </c>
    </row>
    <row r="22" spans="3:11" ht="24" x14ac:dyDescent="0.3">
      <c r="C22" s="264" t="s">
        <v>686</v>
      </c>
      <c r="D22" s="67" t="s">
        <v>551</v>
      </c>
      <c r="E22" s="266">
        <v>2.13</v>
      </c>
      <c r="H22" s="350"/>
      <c r="I22" s="261" t="s">
        <v>31</v>
      </c>
      <c r="J22" s="261">
        <v>104</v>
      </c>
      <c r="K22" s="269">
        <v>733</v>
      </c>
    </row>
    <row r="23" spans="3:11" ht="84" x14ac:dyDescent="0.3">
      <c r="C23" s="264" t="s">
        <v>179</v>
      </c>
      <c r="D23" s="267" t="s">
        <v>550</v>
      </c>
      <c r="E23" s="268">
        <v>7.0000000000000007E-2</v>
      </c>
    </row>
    <row r="24" spans="3:11" ht="24" x14ac:dyDescent="0.3">
      <c r="C24" s="264" t="s">
        <v>545</v>
      </c>
      <c r="D24" s="67" t="s">
        <v>546</v>
      </c>
      <c r="E24" s="67">
        <v>8.9200000000000008E-3</v>
      </c>
    </row>
    <row r="25" spans="3:11" x14ac:dyDescent="0.3">
      <c r="C25" s="265" t="s">
        <v>549</v>
      </c>
      <c r="D25" s="67" t="s">
        <v>117</v>
      </c>
      <c r="E25" s="266">
        <v>28.24</v>
      </c>
    </row>
    <row r="26" spans="3:11" ht="36" x14ac:dyDescent="0.3">
      <c r="C26" s="264" t="s">
        <v>252</v>
      </c>
      <c r="D26" s="267" t="s">
        <v>569</v>
      </c>
      <c r="E26" s="280">
        <v>7000</v>
      </c>
    </row>
    <row r="27" spans="3:11" ht="24" x14ac:dyDescent="0.3">
      <c r="C27" s="264" t="s">
        <v>200</v>
      </c>
      <c r="D27" s="67" t="s">
        <v>159</v>
      </c>
      <c r="E27" s="67">
        <v>240.6</v>
      </c>
    </row>
    <row r="28" spans="3:11" ht="24" x14ac:dyDescent="0.3">
      <c r="C28" s="264" t="s">
        <v>568</v>
      </c>
      <c r="D28" s="67" t="s">
        <v>561</v>
      </c>
      <c r="E28" s="266">
        <v>0.1</v>
      </c>
    </row>
  </sheetData>
  <mergeCells count="3">
    <mergeCell ref="C8:C12"/>
    <mergeCell ref="H17:H22"/>
    <mergeCell ref="C13:C14"/>
  </mergeCells>
  <conditionalFormatting sqref="C8 I17:J22 D15">
    <cfRule type="expression" dxfId="526" priority="17">
      <formula>"($C$15='NO')"</formula>
    </cfRule>
  </conditionalFormatting>
  <conditionalFormatting sqref="D8:D12">
    <cfRule type="expression" dxfId="525" priority="16">
      <formula>"($C$15='NO')"</formula>
    </cfRule>
  </conditionalFormatting>
  <conditionalFormatting sqref="D10:D11">
    <cfRule type="expression" dxfId="524" priority="13">
      <formula>"($C$15='NO')"</formula>
    </cfRule>
  </conditionalFormatting>
  <conditionalFormatting sqref="D12">
    <cfRule type="expression" dxfId="523" priority="12">
      <formula>"($C$15='NO')"</formula>
    </cfRule>
  </conditionalFormatting>
  <conditionalFormatting sqref="D8:D9">
    <cfRule type="expression" dxfId="522" priority="14">
      <formula>"($C$15='NO')"</formula>
    </cfRule>
  </conditionalFormatting>
  <conditionalFormatting sqref="D8:D12">
    <cfRule type="expression" dxfId="521" priority="15">
      <formula>"($C$15='NO')"</formula>
    </cfRule>
  </conditionalFormatting>
  <conditionalFormatting sqref="H17">
    <cfRule type="expression" dxfId="520" priority="11">
      <formula>"($C$15='NO')"</formula>
    </cfRule>
  </conditionalFormatting>
  <conditionalFormatting sqref="I20:I21">
    <cfRule type="expression" dxfId="519" priority="7">
      <formula>"($C$15='NO')"</formula>
    </cfRule>
  </conditionalFormatting>
  <conditionalFormatting sqref="I22">
    <cfRule type="expression" dxfId="518" priority="6">
      <formula>"($C$15='NO')"</formula>
    </cfRule>
  </conditionalFormatting>
  <conditionalFormatting sqref="D16">
    <cfRule type="expression" dxfId="517" priority="5">
      <formula>"($C$15='NO')"</formula>
    </cfRule>
  </conditionalFormatting>
  <conditionalFormatting sqref="I12">
    <cfRule type="expression" dxfId="516" priority="4">
      <formula>"($C$15='NO')"</formula>
    </cfRule>
  </conditionalFormatting>
  <conditionalFormatting sqref="D17">
    <cfRule type="expression" dxfId="515" priority="3">
      <formula>"($C$15='NO')"</formula>
    </cfRule>
  </conditionalFormatting>
  <conditionalFormatting sqref="D18">
    <cfRule type="expression" dxfId="514" priority="1">
      <formula>"($C$15='NO')"</formula>
    </cfRule>
  </conditionalFormatting>
  <dataValidations disablePrompts="1" count="1">
    <dataValidation allowBlank="1" showInputMessage="1" showErrorMessage="1" promptTitle="Urban or Rural" sqref="C8 H17 I17:J22 D8:D12 D15:D18 I12"/>
  </dataValidations>
  <pageMargins left="0.7" right="0.7" top="0.75" bottom="0.75" header="0.3" footer="0.3"/>
  <pageSetup paperSize="3"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8" tint="-0.249977111117893"/>
    <pageSetUpPr fitToPage="1"/>
  </sheetPr>
  <dimension ref="A1:H76"/>
  <sheetViews>
    <sheetView view="pageBreakPreview" zoomScale="85" zoomScaleNormal="85" zoomScaleSheetLayoutView="85" workbookViewId="0">
      <selection activeCell="E22" sqref="E22"/>
    </sheetView>
  </sheetViews>
  <sheetFormatPr defaultColWidth="8.88671875" defaultRowHeight="14.4" x14ac:dyDescent="0.3"/>
  <cols>
    <col min="1" max="1" width="1.6640625" style="4" customWidth="1"/>
    <col min="2" max="2" width="12.88671875" style="4" customWidth="1"/>
    <col min="3" max="3" width="44.88671875" style="4" customWidth="1"/>
    <col min="4" max="4" width="11.44140625" style="4" customWidth="1"/>
    <col min="5" max="5" width="31.6640625" style="4" customWidth="1"/>
    <col min="6" max="6" width="1.5546875" style="4" customWidth="1"/>
    <col min="7" max="7" width="1.33203125" style="4" customWidth="1"/>
    <col min="8" max="8" width="132.6640625" style="4" bestFit="1" customWidth="1"/>
    <col min="9" max="16384" width="8.88671875" style="4"/>
  </cols>
  <sheetData>
    <row r="1" spans="1:8" x14ac:dyDescent="0.3">
      <c r="A1" s="7"/>
      <c r="B1" s="7"/>
      <c r="C1" s="277" t="s">
        <v>488</v>
      </c>
      <c r="D1" s="162"/>
      <c r="E1" s="162"/>
      <c r="F1" s="7"/>
      <c r="G1" s="7"/>
    </row>
    <row r="2" spans="1:8" ht="25.8" x14ac:dyDescent="0.3">
      <c r="A2" s="7"/>
      <c r="B2" s="7"/>
      <c r="C2" s="316" t="s">
        <v>33</v>
      </c>
      <c r="D2" s="316"/>
      <c r="E2" s="316"/>
      <c r="F2" s="7"/>
      <c r="G2" s="7"/>
    </row>
    <row r="3" spans="1:8" x14ac:dyDescent="0.3">
      <c r="A3" s="7"/>
      <c r="B3" s="7"/>
      <c r="C3" s="162" t="s">
        <v>240</v>
      </c>
      <c r="D3" s="162"/>
      <c r="E3" s="162"/>
      <c r="F3" s="7"/>
      <c r="G3" s="7"/>
    </row>
    <row r="4" spans="1:8" x14ac:dyDescent="0.3">
      <c r="A4" s="7"/>
      <c r="B4" s="7"/>
      <c r="C4" s="7"/>
      <c r="D4" s="7"/>
      <c r="E4" s="7"/>
      <c r="F4" s="7"/>
      <c r="G4" s="7"/>
    </row>
    <row r="5" spans="1:8" x14ac:dyDescent="0.3">
      <c r="A5" s="7"/>
      <c r="B5" s="7"/>
      <c r="C5" s="20" t="s">
        <v>2</v>
      </c>
      <c r="D5" s="321"/>
      <c r="E5" s="321"/>
      <c r="F5" s="7"/>
      <c r="G5" s="7"/>
    </row>
    <row r="6" spans="1:8" x14ac:dyDescent="0.3">
      <c r="A6" s="7"/>
      <c r="B6" s="7"/>
      <c r="C6" s="20" t="s">
        <v>0</v>
      </c>
      <c r="D6" s="321"/>
      <c r="E6" s="321"/>
      <c r="F6" s="7"/>
      <c r="G6" s="7"/>
    </row>
    <row r="7" spans="1:8" x14ac:dyDescent="0.3">
      <c r="A7" s="7"/>
      <c r="B7" s="7"/>
      <c r="C7" s="20" t="s">
        <v>160</v>
      </c>
      <c r="D7" s="321"/>
      <c r="E7" s="321"/>
      <c r="F7" s="7"/>
      <c r="G7" s="7"/>
    </row>
    <row r="8" spans="1:8" x14ac:dyDescent="0.3">
      <c r="A8" s="7"/>
      <c r="B8" s="7"/>
      <c r="C8" s="7"/>
      <c r="D8" s="20"/>
      <c r="E8" s="7"/>
      <c r="F8" s="7"/>
      <c r="G8" s="7"/>
    </row>
    <row r="9" spans="1:8" x14ac:dyDescent="0.3">
      <c r="A9" s="7"/>
      <c r="B9" s="7"/>
      <c r="C9" s="7"/>
      <c r="D9" s="20"/>
      <c r="E9" s="7"/>
      <c r="F9" s="7"/>
      <c r="G9" s="7"/>
    </row>
    <row r="10" spans="1:8" x14ac:dyDescent="0.3">
      <c r="A10" s="7"/>
      <c r="B10" s="50">
        <v>1</v>
      </c>
      <c r="C10" s="19" t="s">
        <v>233</v>
      </c>
      <c r="D10" s="355"/>
      <c r="E10" s="355"/>
      <c r="F10" s="7"/>
      <c r="G10" s="7"/>
    </row>
    <row r="11" spans="1:8" x14ac:dyDescent="0.3">
      <c r="A11" s="7"/>
      <c r="B11" s="50"/>
      <c r="C11" s="21"/>
      <c r="D11" s="46"/>
      <c r="E11" s="7"/>
      <c r="F11" s="7"/>
      <c r="G11" s="7"/>
    </row>
    <row r="12" spans="1:8" x14ac:dyDescent="0.3">
      <c r="A12" s="7"/>
      <c r="B12" s="50">
        <v>2</v>
      </c>
      <c r="C12" s="317" t="s">
        <v>154</v>
      </c>
      <c r="D12" s="317"/>
      <c r="E12" s="317"/>
      <c r="F12" s="7"/>
      <c r="G12" s="7"/>
    </row>
    <row r="13" spans="1:8" x14ac:dyDescent="0.3">
      <c r="A13" s="7"/>
      <c r="B13" s="50"/>
      <c r="C13" s="20" t="s">
        <v>35</v>
      </c>
      <c r="D13" s="118"/>
      <c r="E13" s="7"/>
      <c r="F13" s="7"/>
      <c r="G13" s="7"/>
      <c r="H13" s="222"/>
    </row>
    <row r="14" spans="1:8" x14ac:dyDescent="0.3">
      <c r="A14" s="7"/>
      <c r="B14" s="50"/>
      <c r="C14" s="20" t="s">
        <v>36</v>
      </c>
      <c r="D14" s="118"/>
      <c r="E14" s="7"/>
      <c r="F14" s="7"/>
      <c r="G14" s="7"/>
      <c r="H14" s="214"/>
    </row>
    <row r="15" spans="1:8" x14ac:dyDescent="0.3">
      <c r="A15" s="7"/>
      <c r="B15" s="50"/>
      <c r="C15" s="20" t="s">
        <v>37</v>
      </c>
      <c r="D15" s="118"/>
      <c r="E15" s="7"/>
      <c r="F15" s="7"/>
      <c r="G15" s="7"/>
    </row>
    <row r="16" spans="1:8" x14ac:dyDescent="0.3">
      <c r="A16" s="7"/>
      <c r="B16" s="50"/>
      <c r="C16" s="20" t="s">
        <v>38</v>
      </c>
      <c r="D16" s="118"/>
      <c r="E16" s="7"/>
      <c r="F16" s="7"/>
      <c r="G16" s="7"/>
    </row>
    <row r="17" spans="1:8" x14ac:dyDescent="0.3">
      <c r="A17" s="7"/>
      <c r="B17" s="50"/>
      <c r="C17" s="20" t="s">
        <v>39</v>
      </c>
      <c r="D17" s="118"/>
      <c r="E17" s="7"/>
      <c r="F17" s="7"/>
      <c r="G17" s="7"/>
    </row>
    <row r="18" spans="1:8" x14ac:dyDescent="0.3">
      <c r="A18" s="7"/>
      <c r="B18" s="50"/>
      <c r="C18" s="20" t="s">
        <v>40</v>
      </c>
      <c r="D18" s="118"/>
      <c r="E18" s="7"/>
      <c r="F18" s="7"/>
      <c r="G18" s="7"/>
    </row>
    <row r="19" spans="1:8" x14ac:dyDescent="0.3">
      <c r="A19" s="7"/>
      <c r="B19" s="50"/>
      <c r="C19" s="20" t="s">
        <v>41</v>
      </c>
      <c r="D19" s="118"/>
      <c r="E19" s="7"/>
      <c r="F19" s="7"/>
      <c r="G19" s="7"/>
    </row>
    <row r="20" spans="1:8" x14ac:dyDescent="0.3">
      <c r="A20" s="7"/>
      <c r="B20" s="50"/>
      <c r="C20" s="20" t="s">
        <v>42</v>
      </c>
      <c r="D20" s="118"/>
      <c r="E20" s="7"/>
      <c r="F20" s="7"/>
      <c r="G20" s="7"/>
    </row>
    <row r="21" spans="1:8" x14ac:dyDescent="0.3">
      <c r="A21" s="7"/>
      <c r="B21" s="50"/>
      <c r="C21" s="20" t="s">
        <v>43</v>
      </c>
      <c r="D21" s="118"/>
      <c r="E21" s="7"/>
      <c r="F21" s="7"/>
      <c r="G21" s="7"/>
    </row>
    <row r="22" spans="1:8" x14ac:dyDescent="0.3">
      <c r="A22" s="7"/>
      <c r="B22" s="7"/>
      <c r="C22" s="7"/>
      <c r="D22" s="7"/>
      <c r="E22" s="7"/>
      <c r="F22" s="7"/>
      <c r="G22" s="7"/>
    </row>
    <row r="23" spans="1:8" ht="28.95" customHeight="1" x14ac:dyDescent="0.3">
      <c r="B23" s="4">
        <v>3</v>
      </c>
      <c r="C23" s="317" t="s">
        <v>473</v>
      </c>
      <c r="D23" s="317"/>
      <c r="E23" s="317"/>
      <c r="F23" s="106"/>
      <c r="H23" s="220"/>
    </row>
    <row r="24" spans="1:8" ht="14.4" customHeight="1" x14ac:dyDescent="0.3">
      <c r="C24" s="7"/>
      <c r="D24" s="20" t="s">
        <v>440</v>
      </c>
      <c r="E24" s="118"/>
      <c r="H24" s="215"/>
    </row>
    <row r="25" spans="1:8" ht="14.4" customHeight="1" x14ac:dyDescent="0.3">
      <c r="C25" s="7"/>
      <c r="D25" s="20" t="s">
        <v>6</v>
      </c>
      <c r="E25" s="118"/>
      <c r="H25" s="117"/>
    </row>
    <row r="26" spans="1:8" ht="14.4" customHeight="1" x14ac:dyDescent="0.3">
      <c r="C26" s="7"/>
      <c r="D26" s="20" t="s">
        <v>297</v>
      </c>
      <c r="E26" s="123"/>
      <c r="H26" s="125"/>
    </row>
    <row r="27" spans="1:8" ht="14.4" customHeight="1" x14ac:dyDescent="0.3">
      <c r="C27" s="7"/>
      <c r="D27" s="20" t="s">
        <v>441</v>
      </c>
      <c r="E27" s="123"/>
      <c r="H27" s="125"/>
    </row>
    <row r="28" spans="1:8" ht="14.4" customHeight="1" x14ac:dyDescent="0.3">
      <c r="C28" s="7"/>
      <c r="D28" s="20" t="s">
        <v>442</v>
      </c>
      <c r="E28" s="123"/>
      <c r="H28" s="125"/>
    </row>
    <row r="29" spans="1:8" ht="14.4" customHeight="1" x14ac:dyDescent="0.3">
      <c r="C29" s="7"/>
      <c r="D29" s="20" t="s">
        <v>443</v>
      </c>
      <c r="E29" s="123"/>
      <c r="H29" s="125"/>
    </row>
    <row r="30" spans="1:8" ht="17.25" customHeight="1" x14ac:dyDescent="0.3">
      <c r="A30" s="7"/>
      <c r="B30" s="50"/>
      <c r="C30" s="19"/>
      <c r="D30" s="8"/>
      <c r="E30" s="7"/>
      <c r="F30" s="7"/>
      <c r="G30" s="7"/>
    </row>
    <row r="31" spans="1:8" x14ac:dyDescent="0.3">
      <c r="A31" s="7"/>
      <c r="B31" s="50">
        <v>4</v>
      </c>
      <c r="C31" s="317" t="s">
        <v>5</v>
      </c>
      <c r="D31" s="317"/>
      <c r="E31" s="317"/>
      <c r="F31" s="7"/>
      <c r="G31" s="7"/>
    </row>
    <row r="32" spans="1:8" x14ac:dyDescent="0.3">
      <c r="A32" s="7"/>
      <c r="B32" s="7"/>
      <c r="C32" s="20" t="s">
        <v>6</v>
      </c>
      <c r="D32" s="118" t="s">
        <v>4</v>
      </c>
      <c r="E32" s="7"/>
      <c r="F32" s="7"/>
      <c r="G32" s="7"/>
    </row>
    <row r="33" spans="1:8" ht="28.8" x14ac:dyDescent="0.3">
      <c r="A33" s="7"/>
      <c r="B33" s="7"/>
      <c r="C33" s="21" t="s">
        <v>9</v>
      </c>
      <c r="D33" s="118" t="s">
        <v>4</v>
      </c>
      <c r="E33" s="7"/>
      <c r="F33" s="7"/>
      <c r="G33" s="7"/>
    </row>
    <row r="34" spans="1:8" x14ac:dyDescent="0.3">
      <c r="A34" s="7"/>
      <c r="B34" s="7"/>
      <c r="C34" s="7"/>
      <c r="D34" s="7"/>
      <c r="E34" s="7"/>
      <c r="F34" s="7"/>
      <c r="G34" s="7"/>
    </row>
    <row r="35" spans="1:8" x14ac:dyDescent="0.3">
      <c r="A35" s="7"/>
      <c r="B35" s="55" t="s">
        <v>8</v>
      </c>
      <c r="C35" s="82"/>
      <c r="D35" s="82"/>
      <c r="E35" s="82"/>
      <c r="F35" s="100"/>
      <c r="G35" s="7"/>
    </row>
    <row r="36" spans="1:8" x14ac:dyDescent="0.3">
      <c r="A36" s="7"/>
      <c r="B36" s="58"/>
      <c r="C36" s="7"/>
      <c r="D36" s="7"/>
      <c r="E36" s="7"/>
      <c r="F36" s="75"/>
      <c r="G36" s="7"/>
    </row>
    <row r="37" spans="1:8" ht="30.75" customHeight="1" x14ac:dyDescent="0.3">
      <c r="A37" s="7"/>
      <c r="B37" s="56" t="s">
        <v>13</v>
      </c>
      <c r="C37" s="317" t="s">
        <v>479</v>
      </c>
      <c r="D37" s="317"/>
      <c r="E37" s="317"/>
      <c r="F37" s="75"/>
      <c r="G37" s="7"/>
      <c r="H37" s="221"/>
    </row>
    <row r="38" spans="1:8" x14ac:dyDescent="0.3">
      <c r="A38" s="7"/>
      <c r="B38" s="57"/>
      <c r="C38" s="7"/>
      <c r="D38" s="353" t="s">
        <v>78</v>
      </c>
      <c r="E38" s="354"/>
      <c r="F38" s="75"/>
      <c r="G38" s="7"/>
      <c r="H38" s="214"/>
    </row>
    <row r="39" spans="1:8" x14ac:dyDescent="0.3">
      <c r="A39" s="7"/>
      <c r="B39" s="56" t="s">
        <v>47</v>
      </c>
      <c r="C39" s="317" t="s">
        <v>80</v>
      </c>
      <c r="D39" s="317"/>
      <c r="E39" s="317"/>
      <c r="F39" s="75"/>
      <c r="G39" s="7"/>
    </row>
    <row r="40" spans="1:8" x14ac:dyDescent="0.3">
      <c r="A40" s="7"/>
      <c r="B40" s="56"/>
      <c r="C40" s="106"/>
      <c r="D40" s="13">
        <v>1</v>
      </c>
      <c r="E40" s="15" t="s">
        <v>81</v>
      </c>
      <c r="F40" s="75"/>
      <c r="G40" s="7"/>
    </row>
    <row r="41" spans="1:8" x14ac:dyDescent="0.3">
      <c r="A41" s="7"/>
      <c r="B41" s="56"/>
      <c r="C41" s="207"/>
      <c r="D41" s="13">
        <v>5</v>
      </c>
      <c r="E41" s="15" t="s">
        <v>86</v>
      </c>
      <c r="F41" s="75"/>
      <c r="G41" s="7"/>
    </row>
    <row r="42" spans="1:8" x14ac:dyDescent="0.3">
      <c r="A42" s="7"/>
      <c r="B42" s="56"/>
      <c r="C42" s="106"/>
      <c r="D42" s="13">
        <v>6</v>
      </c>
      <c r="E42" s="15" t="s">
        <v>85</v>
      </c>
      <c r="F42" s="75"/>
      <c r="G42" s="7"/>
    </row>
    <row r="43" spans="1:8" x14ac:dyDescent="0.3">
      <c r="A43" s="7"/>
      <c r="B43" s="56"/>
      <c r="C43" s="207"/>
      <c r="D43" s="13">
        <v>7</v>
      </c>
      <c r="E43" s="15" t="s">
        <v>87</v>
      </c>
      <c r="F43" s="75"/>
      <c r="G43" s="7"/>
    </row>
    <row r="44" spans="1:8" x14ac:dyDescent="0.3">
      <c r="A44" s="7"/>
      <c r="B44" s="56"/>
      <c r="C44" s="106"/>
      <c r="D44" s="13">
        <v>8</v>
      </c>
      <c r="E44" s="15" t="s">
        <v>83</v>
      </c>
      <c r="F44" s="75"/>
      <c r="G44" s="7"/>
    </row>
    <row r="45" spans="1:8" x14ac:dyDescent="0.3">
      <c r="A45" s="7"/>
      <c r="B45" s="57"/>
      <c r="C45" s="7"/>
      <c r="D45" s="16"/>
      <c r="E45" s="15"/>
      <c r="F45" s="75"/>
      <c r="G45" s="7"/>
    </row>
    <row r="46" spans="1:8" x14ac:dyDescent="0.3">
      <c r="A46" s="7"/>
      <c r="B46" s="56" t="s">
        <v>76</v>
      </c>
      <c r="C46" s="352" t="s">
        <v>89</v>
      </c>
      <c r="D46" s="352"/>
      <c r="E46" s="352"/>
      <c r="F46" s="75"/>
      <c r="G46" s="7"/>
    </row>
    <row r="47" spans="1:8" x14ac:dyDescent="0.3">
      <c r="A47" s="7"/>
      <c r="B47" s="57"/>
      <c r="C47" s="7"/>
      <c r="D47" s="13">
        <v>20</v>
      </c>
      <c r="E47" s="7" t="s">
        <v>90</v>
      </c>
      <c r="F47" s="75"/>
      <c r="G47" s="7"/>
      <c r="H47" s="222"/>
    </row>
    <row r="48" spans="1:8" ht="15" thickBot="1" x14ac:dyDescent="0.35">
      <c r="A48" s="7"/>
      <c r="B48" s="57"/>
      <c r="C48" s="7"/>
      <c r="D48" s="16"/>
      <c r="E48" s="7"/>
      <c r="F48" s="75"/>
      <c r="G48" s="7"/>
      <c r="H48" s="219"/>
    </row>
    <row r="49" spans="1:8" ht="15.6" thickTop="1" thickBot="1" x14ac:dyDescent="0.35">
      <c r="A49" s="7"/>
      <c r="B49" s="57"/>
      <c r="C49" s="7"/>
      <c r="D49" s="140" t="s">
        <v>84</v>
      </c>
      <c r="E49" s="155">
        <f>'1 New Signal Benefits'!E68</f>
        <v>489000</v>
      </c>
      <c r="F49" s="75"/>
      <c r="G49" s="7"/>
    </row>
    <row r="50" spans="1:8" ht="15" thickTop="1" x14ac:dyDescent="0.3">
      <c r="A50" s="7"/>
      <c r="B50" s="60"/>
      <c r="C50" s="132"/>
      <c r="D50" s="132"/>
      <c r="E50" s="132"/>
      <c r="F50" s="99"/>
      <c r="G50" s="7"/>
    </row>
    <row r="51" spans="1:8" x14ac:dyDescent="0.3">
      <c r="A51" s="7"/>
      <c r="B51" s="197"/>
      <c r="C51" s="7"/>
      <c r="D51" s="7"/>
      <c r="E51" s="7"/>
      <c r="F51" s="7"/>
      <c r="G51" s="7"/>
    </row>
    <row r="52" spans="1:8" x14ac:dyDescent="0.3">
      <c r="A52" s="7"/>
      <c r="B52" s="55" t="s">
        <v>14</v>
      </c>
      <c r="C52" s="82"/>
      <c r="D52" s="82"/>
      <c r="E52" s="82"/>
      <c r="F52" s="100"/>
      <c r="G52" s="7"/>
    </row>
    <row r="53" spans="1:8" x14ac:dyDescent="0.3">
      <c r="A53" s="7"/>
      <c r="B53" s="58"/>
      <c r="C53" s="7"/>
      <c r="D53" s="7"/>
      <c r="E53" s="7"/>
      <c r="F53" s="75"/>
      <c r="G53" s="7"/>
    </row>
    <row r="54" spans="1:8" x14ac:dyDescent="0.3">
      <c r="A54" s="7"/>
      <c r="B54" s="56" t="s">
        <v>15</v>
      </c>
      <c r="C54" s="317" t="s">
        <v>111</v>
      </c>
      <c r="D54" s="317"/>
      <c r="E54" s="317"/>
      <c r="F54" s="75"/>
      <c r="G54" s="7"/>
    </row>
    <row r="55" spans="1:8" x14ac:dyDescent="0.3">
      <c r="A55" s="7"/>
      <c r="B55" s="57"/>
      <c r="C55" s="7"/>
      <c r="D55" s="118"/>
      <c r="E55" s="7"/>
      <c r="F55" s="75"/>
      <c r="G55" s="7"/>
    </row>
    <row r="56" spans="1:8" x14ac:dyDescent="0.3">
      <c r="A56" s="7"/>
      <c r="B56" s="57"/>
      <c r="C56" s="7"/>
      <c r="D56" s="7"/>
      <c r="E56" s="7"/>
      <c r="F56" s="75"/>
      <c r="G56" s="7"/>
    </row>
    <row r="57" spans="1:8" ht="30" customHeight="1" x14ac:dyDescent="0.3">
      <c r="A57" s="7"/>
      <c r="B57" s="56" t="s">
        <v>97</v>
      </c>
      <c r="C57" s="317" t="s">
        <v>599</v>
      </c>
      <c r="D57" s="317"/>
      <c r="E57" s="317"/>
      <c r="F57" s="75"/>
      <c r="G57" s="7"/>
    </row>
    <row r="58" spans="1:8" x14ac:dyDescent="0.3">
      <c r="A58" s="7"/>
      <c r="B58" s="57"/>
      <c r="C58" s="7"/>
      <c r="D58" s="18"/>
      <c r="E58" s="7" t="s">
        <v>404</v>
      </c>
      <c r="F58" s="75"/>
      <c r="G58" s="7"/>
    </row>
    <row r="59" spans="1:8" x14ac:dyDescent="0.3">
      <c r="A59" s="7"/>
      <c r="B59" s="57"/>
      <c r="C59" s="7"/>
      <c r="D59" s="7"/>
      <c r="E59" s="7"/>
      <c r="F59" s="75"/>
      <c r="G59" s="7"/>
    </row>
    <row r="60" spans="1:8" x14ac:dyDescent="0.3">
      <c r="A60" s="7"/>
      <c r="B60" s="56" t="s">
        <v>99</v>
      </c>
      <c r="C60" s="352" t="s">
        <v>518</v>
      </c>
      <c r="D60" s="352"/>
      <c r="E60" s="352"/>
      <c r="F60" s="75"/>
      <c r="G60" s="7"/>
      <c r="H60" s="42"/>
    </row>
    <row r="61" spans="1:8" x14ac:dyDescent="0.3">
      <c r="A61" s="7"/>
      <c r="B61" s="57"/>
      <c r="C61" s="7"/>
      <c r="D61" s="18"/>
      <c r="E61" s="7" t="s">
        <v>517</v>
      </c>
      <c r="F61" s="75"/>
      <c r="G61" s="7"/>
      <c r="H61" s="219"/>
    </row>
    <row r="62" spans="1:8" ht="15" thickBot="1" x14ac:dyDescent="0.35">
      <c r="A62" s="7"/>
      <c r="B62" s="57"/>
      <c r="C62" s="7"/>
      <c r="D62" s="7"/>
      <c r="E62" s="7"/>
      <c r="F62" s="75"/>
      <c r="G62" s="7"/>
    </row>
    <row r="63" spans="1:8" ht="15.6" thickTop="1" thickBot="1" x14ac:dyDescent="0.35">
      <c r="A63" s="7"/>
      <c r="B63" s="57"/>
      <c r="C63" s="7"/>
      <c r="D63" s="140" t="s">
        <v>109</v>
      </c>
      <c r="E63" s="155">
        <f>'1 New Signal Benefits'!E89</f>
        <v>0</v>
      </c>
      <c r="F63" s="75"/>
      <c r="G63" s="7"/>
    </row>
    <row r="64" spans="1:8" ht="15" thickTop="1" x14ac:dyDescent="0.3">
      <c r="A64" s="7"/>
      <c r="B64" s="60"/>
      <c r="C64" s="132"/>
      <c r="D64" s="132"/>
      <c r="E64" s="132"/>
      <c r="F64" s="99"/>
      <c r="G64" s="7"/>
    </row>
    <row r="65" spans="1:7" x14ac:dyDescent="0.3">
      <c r="A65" s="7"/>
      <c r="B65" s="7"/>
      <c r="C65" s="7"/>
      <c r="D65" s="7"/>
      <c r="E65" s="7"/>
      <c r="F65" s="7"/>
      <c r="G65" s="7"/>
    </row>
    <row r="66" spans="1:7" x14ac:dyDescent="0.3">
      <c r="A66" s="7"/>
      <c r="B66" s="55" t="s">
        <v>65</v>
      </c>
      <c r="C66" s="82"/>
      <c r="D66" s="82"/>
      <c r="E66" s="82"/>
      <c r="F66" s="100"/>
      <c r="G66" s="7"/>
    </row>
    <row r="67" spans="1:7" ht="15" thickBot="1" x14ac:dyDescent="0.35">
      <c r="A67" s="7"/>
      <c r="B67" s="57"/>
      <c r="C67" s="7"/>
      <c r="D67" s="7"/>
      <c r="E67" s="7"/>
      <c r="F67" s="75"/>
      <c r="G67" s="7"/>
    </row>
    <row r="68" spans="1:7" ht="15.6" thickTop="1" thickBot="1" x14ac:dyDescent="0.35">
      <c r="A68" s="7"/>
      <c r="B68" s="57"/>
      <c r="C68" s="7"/>
      <c r="D68" s="140" t="s">
        <v>131</v>
      </c>
      <c r="E68" s="159">
        <f>'1 New Signal Benefits'!E117</f>
        <v>0</v>
      </c>
      <c r="F68" s="75"/>
      <c r="G68" s="7"/>
    </row>
    <row r="69" spans="1:7" ht="15" thickTop="1" x14ac:dyDescent="0.3">
      <c r="A69" s="7"/>
      <c r="B69" s="59"/>
      <c r="C69" s="132"/>
      <c r="D69" s="142"/>
      <c r="E69" s="160"/>
      <c r="F69" s="99"/>
      <c r="G69" s="7"/>
    </row>
    <row r="70" spans="1:7" ht="15" thickBot="1" x14ac:dyDescent="0.35">
      <c r="A70" s="7"/>
      <c r="B70" s="7"/>
      <c r="C70" s="7"/>
      <c r="D70" s="7"/>
      <c r="E70" s="7"/>
      <c r="F70" s="7"/>
      <c r="G70" s="7"/>
    </row>
    <row r="71" spans="1:7" ht="19.2" thickTop="1" thickBot="1" x14ac:dyDescent="0.35">
      <c r="A71" s="7"/>
      <c r="B71" s="7"/>
      <c r="C71" s="7"/>
      <c r="D71" s="94" t="s">
        <v>132</v>
      </c>
      <c r="E71" s="93">
        <f>ROUND(E68+E63+E49,-2)</f>
        <v>489000</v>
      </c>
      <c r="F71" s="7"/>
      <c r="G71" s="7"/>
    </row>
    <row r="72" spans="1:7" ht="19.2" thickTop="1" thickBot="1" x14ac:dyDescent="0.35">
      <c r="A72" s="7"/>
      <c r="B72" s="7"/>
      <c r="C72" s="7"/>
      <c r="D72" s="94" t="s">
        <v>330</v>
      </c>
      <c r="E72" s="96" t="e">
        <f>E71/D10</f>
        <v>#DIV/0!</v>
      </c>
      <c r="F72" s="7"/>
      <c r="G72" s="7"/>
    </row>
    <row r="73" spans="1:7" ht="15" thickTop="1" x14ac:dyDescent="0.3">
      <c r="A73" s="7"/>
      <c r="B73" s="7"/>
      <c r="C73" s="7"/>
      <c r="D73" s="7"/>
      <c r="E73" s="7"/>
      <c r="F73" s="7"/>
      <c r="G73" s="7"/>
    </row>
    <row r="74" spans="1:7" x14ac:dyDescent="0.3">
      <c r="A74" s="7"/>
      <c r="G74" s="7"/>
    </row>
    <row r="75" spans="1:7" x14ac:dyDescent="0.3">
      <c r="A75" s="7"/>
      <c r="G75" s="7"/>
    </row>
    <row r="76" spans="1:7" x14ac:dyDescent="0.3">
      <c r="A76" s="7"/>
      <c r="G76" s="7"/>
    </row>
  </sheetData>
  <mergeCells count="15">
    <mergeCell ref="C2:E2"/>
    <mergeCell ref="C31:E31"/>
    <mergeCell ref="C12:E12"/>
    <mergeCell ref="D5:E5"/>
    <mergeCell ref="D6:E6"/>
    <mergeCell ref="D7:E7"/>
    <mergeCell ref="D10:E10"/>
    <mergeCell ref="C23:E23"/>
    <mergeCell ref="C60:E60"/>
    <mergeCell ref="C37:E37"/>
    <mergeCell ref="D38:E38"/>
    <mergeCell ref="C39:E39"/>
    <mergeCell ref="C46:E46"/>
    <mergeCell ref="C54:E54"/>
    <mergeCell ref="C57:E57"/>
  </mergeCells>
  <conditionalFormatting sqref="B35:F50">
    <cfRule type="expression" dxfId="513" priority="14">
      <formula>$D$32="NO"</formula>
    </cfRule>
  </conditionalFormatting>
  <conditionalFormatting sqref="B52:F64">
    <cfRule type="expression" dxfId="512" priority="12">
      <formula>$D$33="NO"</formula>
    </cfRule>
  </conditionalFormatting>
  <conditionalFormatting sqref="B66:F69">
    <cfRule type="expression" dxfId="511" priority="1">
      <formula>$D$33="NO"</formula>
    </cfRule>
  </conditionalFormatting>
  <dataValidations count="4">
    <dataValidation type="list" showInputMessage="1" showErrorMessage="1" sqref="D13:D21 D32:D33 D55">
      <formula1>YES.NO</formula1>
    </dataValidation>
    <dataValidation type="whole" allowBlank="1" showInputMessage="1" showErrorMessage="1" sqref="D10">
      <formula1>0</formula1>
      <formula2>10000000</formula2>
    </dataValidation>
    <dataValidation showInputMessage="1" showErrorMessage="1" sqref="D11:E11"/>
    <dataValidation allowBlank="1" showInputMessage="1" showErrorMessage="1" promptTitle="Urban or Rural" sqref="E40:E44"/>
  </dataValidations>
  <pageMargins left="0.7" right="0.7" top="0.75" bottom="0.75" header="0.3" footer="0.3"/>
  <pageSetup scale="86" fitToHeight="0" orientation="portrait" r:id="rId1"/>
  <rowBreaks count="1" manualBreakCount="1">
    <brk id="51" max="6" man="1"/>
  </rowBreaks>
  <drawing r:id="rId2"/>
  <extLst>
    <ext xmlns:x14="http://schemas.microsoft.com/office/spreadsheetml/2009/9/main" uri="{CCE6A557-97BC-4b89-ADB6-D9C93CAAB3DF}">
      <x14:dataValidations xmlns:xm="http://schemas.microsoft.com/office/excel/2006/main" count="3">
        <x14:dataValidation type="list" showInputMessage="1" showErrorMessage="1" promptTitle="Region">
          <x14:formula1>
            <xm:f>'drop-downs'!$I$2:$I$7</xm:f>
          </x14:formula1>
          <xm:sqref>D5:E5</xm:sqref>
        </x14:dataValidation>
        <x14:dataValidation type="list" allowBlank="1" showInputMessage="1" showErrorMessage="1" promptTitle="Urban or Rural">
          <x14:formula1>
            <xm:f>'drop-downs'!$W$2:$W$3</xm:f>
          </x14:formula1>
          <xm:sqref>D38:E38</xm:sqref>
        </x14:dataValidation>
        <x14:dataValidation type="list" showInputMessage="1" showErrorMessage="1">
          <x14:formula1>
            <xm:f>'drop-downs'!$AR$2:$AR$4</xm:f>
          </x14:formula1>
          <xm:sqref>E24:E29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8" tint="-0.249977111117893"/>
  </sheetPr>
  <dimension ref="A1:I121"/>
  <sheetViews>
    <sheetView topLeftCell="A97" workbookViewId="0">
      <selection activeCell="D113" sqref="D113"/>
    </sheetView>
  </sheetViews>
  <sheetFormatPr defaultColWidth="8.88671875" defaultRowHeight="14.4" x14ac:dyDescent="0.3"/>
  <cols>
    <col min="1" max="1" width="1.33203125" style="4" customWidth="1"/>
    <col min="2" max="2" width="12.6640625" style="4" customWidth="1"/>
    <col min="3" max="3" width="44.88671875" style="4" customWidth="1"/>
    <col min="4" max="4" width="13.5546875" style="4" customWidth="1"/>
    <col min="5" max="5" width="29" style="4" customWidth="1"/>
    <col min="6" max="6" width="1" style="4" customWidth="1"/>
    <col min="7" max="7" width="1.109375" style="4" customWidth="1"/>
    <col min="8" max="8" width="10.109375" style="4" bestFit="1" customWidth="1"/>
    <col min="9" max="16384" width="8.88671875" style="4"/>
  </cols>
  <sheetData>
    <row r="1" spans="1:7" x14ac:dyDescent="0.3">
      <c r="A1" s="7"/>
      <c r="B1" s="7"/>
      <c r="C1" s="116" t="s">
        <v>239</v>
      </c>
      <c r="D1" s="162"/>
      <c r="E1" s="162"/>
      <c r="F1" s="7"/>
      <c r="G1" s="7"/>
    </row>
    <row r="2" spans="1:7" ht="25.8" x14ac:dyDescent="0.3">
      <c r="A2" s="7"/>
      <c r="B2" s="7"/>
      <c r="C2" s="362" t="s">
        <v>33</v>
      </c>
      <c r="D2" s="362"/>
      <c r="E2" s="362"/>
      <c r="F2" s="7"/>
      <c r="G2" s="7"/>
    </row>
    <row r="3" spans="1:7" x14ac:dyDescent="0.3">
      <c r="A3" s="7"/>
      <c r="B3" s="7"/>
      <c r="C3" s="162" t="s">
        <v>240</v>
      </c>
      <c r="D3" s="162"/>
      <c r="E3" s="162"/>
      <c r="F3" s="7"/>
      <c r="G3" s="7"/>
    </row>
    <row r="4" spans="1:7" x14ac:dyDescent="0.3">
      <c r="A4" s="7"/>
      <c r="B4" s="7"/>
      <c r="C4" s="7"/>
      <c r="D4" s="7"/>
      <c r="E4" s="7"/>
      <c r="F4" s="7"/>
      <c r="G4" s="7"/>
    </row>
    <row r="5" spans="1:7" x14ac:dyDescent="0.3">
      <c r="A5" s="7"/>
      <c r="B5" s="7"/>
      <c r="C5" s="120" t="s">
        <v>2</v>
      </c>
      <c r="D5" s="363">
        <f>'1 New Signal Install'!D5:E5</f>
        <v>0</v>
      </c>
      <c r="E5" s="363"/>
      <c r="F5" s="7"/>
      <c r="G5" s="7"/>
    </row>
    <row r="6" spans="1:7" x14ac:dyDescent="0.3">
      <c r="A6" s="7"/>
      <c r="B6" s="7"/>
      <c r="C6" s="120" t="s">
        <v>0</v>
      </c>
      <c r="D6" s="363">
        <f>'1 New Signal Install'!D6:E6</f>
        <v>0</v>
      </c>
      <c r="E6" s="363"/>
      <c r="F6" s="7"/>
      <c r="G6" s="7"/>
    </row>
    <row r="7" spans="1:7" x14ac:dyDescent="0.3">
      <c r="A7" s="7"/>
      <c r="B7" s="7"/>
      <c r="C7" s="20" t="s">
        <v>160</v>
      </c>
      <c r="D7" s="363">
        <f>'1 New Signal Install'!D7:E7</f>
        <v>0</v>
      </c>
      <c r="E7" s="363"/>
      <c r="F7" s="7"/>
      <c r="G7" s="7"/>
    </row>
    <row r="8" spans="1:7" x14ac:dyDescent="0.3">
      <c r="A8" s="7"/>
      <c r="B8" s="7"/>
      <c r="C8" s="15"/>
      <c r="D8" s="120"/>
      <c r="E8" s="15"/>
      <c r="F8" s="7"/>
      <c r="G8" s="7"/>
    </row>
    <row r="9" spans="1:7" x14ac:dyDescent="0.3">
      <c r="A9" s="7"/>
      <c r="B9" s="7"/>
      <c r="C9" s="15"/>
      <c r="D9" s="120"/>
      <c r="E9" s="15"/>
      <c r="F9" s="7"/>
      <c r="G9" s="7"/>
    </row>
    <row r="10" spans="1:7" x14ac:dyDescent="0.3">
      <c r="A10" s="7"/>
      <c r="B10" s="50">
        <v>1</v>
      </c>
      <c r="C10" s="19" t="s">
        <v>233</v>
      </c>
      <c r="D10" s="358">
        <f>'1 New Signal Install'!D10</f>
        <v>0</v>
      </c>
      <c r="E10" s="358"/>
      <c r="F10" s="7"/>
      <c r="G10" s="7"/>
    </row>
    <row r="11" spans="1:7" x14ac:dyDescent="0.3">
      <c r="A11" s="7"/>
      <c r="B11" s="50"/>
      <c r="C11" s="38"/>
      <c r="D11" s="14"/>
      <c r="E11" s="15"/>
      <c r="F11" s="7"/>
      <c r="G11" s="7"/>
    </row>
    <row r="12" spans="1:7" x14ac:dyDescent="0.3">
      <c r="A12" s="7"/>
      <c r="B12" s="50">
        <v>2</v>
      </c>
      <c r="C12" s="317" t="s">
        <v>154</v>
      </c>
      <c r="D12" s="317"/>
      <c r="E12" s="317"/>
      <c r="F12" s="7"/>
      <c r="G12" s="7"/>
    </row>
    <row r="13" spans="1:7" x14ac:dyDescent="0.3">
      <c r="A13" s="7"/>
      <c r="B13" s="50"/>
      <c r="C13" s="20" t="s">
        <v>35</v>
      </c>
      <c r="D13" s="52">
        <f>'1 New Signal Install'!D13</f>
        <v>0</v>
      </c>
      <c r="E13" s="7"/>
      <c r="F13" s="7"/>
      <c r="G13" s="7"/>
    </row>
    <row r="14" spans="1:7" x14ac:dyDescent="0.3">
      <c r="A14" s="7"/>
      <c r="B14" s="50"/>
      <c r="C14" s="20" t="s">
        <v>36</v>
      </c>
      <c r="D14" s="52">
        <f>'1 New Signal Install'!D14</f>
        <v>0</v>
      </c>
      <c r="E14" s="7"/>
      <c r="F14" s="7"/>
      <c r="G14" s="7"/>
    </row>
    <row r="15" spans="1:7" x14ac:dyDescent="0.3">
      <c r="A15" s="7"/>
      <c r="B15" s="50"/>
      <c r="C15" s="20" t="s">
        <v>37</v>
      </c>
      <c r="D15" s="52">
        <f>'1 New Signal Install'!D15</f>
        <v>0</v>
      </c>
      <c r="E15" s="7"/>
      <c r="F15" s="7"/>
      <c r="G15" s="7"/>
    </row>
    <row r="16" spans="1:7" x14ac:dyDescent="0.3">
      <c r="A16" s="7"/>
      <c r="B16" s="50"/>
      <c r="C16" s="20" t="s">
        <v>38</v>
      </c>
      <c r="D16" s="52">
        <f>'1 New Signal Install'!D16</f>
        <v>0</v>
      </c>
      <c r="E16" s="7"/>
      <c r="F16" s="7"/>
      <c r="G16" s="7"/>
    </row>
    <row r="17" spans="1:7" x14ac:dyDescent="0.3">
      <c r="A17" s="7"/>
      <c r="B17" s="50"/>
      <c r="C17" s="20" t="s">
        <v>39</v>
      </c>
      <c r="D17" s="52">
        <f>'1 New Signal Install'!D17</f>
        <v>0</v>
      </c>
      <c r="E17" s="7"/>
      <c r="F17" s="7"/>
      <c r="G17" s="7"/>
    </row>
    <row r="18" spans="1:7" x14ac:dyDescent="0.3">
      <c r="A18" s="7"/>
      <c r="B18" s="50"/>
      <c r="C18" s="20" t="s">
        <v>40</v>
      </c>
      <c r="D18" s="52">
        <f>'1 New Signal Install'!D18</f>
        <v>0</v>
      </c>
      <c r="E18" s="7"/>
      <c r="F18" s="7"/>
      <c r="G18" s="7"/>
    </row>
    <row r="19" spans="1:7" x14ac:dyDescent="0.3">
      <c r="A19" s="7"/>
      <c r="B19" s="50"/>
      <c r="C19" s="20" t="s">
        <v>41</v>
      </c>
      <c r="D19" s="52">
        <f>'1 New Signal Install'!D19</f>
        <v>0</v>
      </c>
      <c r="E19" s="7"/>
      <c r="F19" s="7"/>
      <c r="G19" s="7"/>
    </row>
    <row r="20" spans="1:7" x14ac:dyDescent="0.3">
      <c r="A20" s="7"/>
      <c r="B20" s="50"/>
      <c r="C20" s="20" t="s">
        <v>42</v>
      </c>
      <c r="D20" s="52">
        <f>'1 New Signal Install'!D20</f>
        <v>0</v>
      </c>
      <c r="E20" s="7"/>
      <c r="F20" s="7"/>
      <c r="G20" s="7"/>
    </row>
    <row r="21" spans="1:7" x14ac:dyDescent="0.3">
      <c r="A21" s="7"/>
      <c r="B21" s="50"/>
      <c r="C21" s="20" t="s">
        <v>43</v>
      </c>
      <c r="D21" s="52">
        <f>'1 New Signal Install'!D21</f>
        <v>0</v>
      </c>
      <c r="E21" s="7"/>
      <c r="F21" s="7"/>
      <c r="G21" s="7"/>
    </row>
    <row r="22" spans="1:7" x14ac:dyDescent="0.3">
      <c r="A22" s="7"/>
      <c r="B22" s="50"/>
      <c r="C22" s="107"/>
      <c r="D22" s="15"/>
      <c r="E22" s="15"/>
      <c r="F22" s="7"/>
      <c r="G22" s="7"/>
    </row>
    <row r="23" spans="1:7" ht="15" customHeight="1" x14ac:dyDescent="0.3">
      <c r="A23" s="7"/>
      <c r="B23" s="50">
        <v>3</v>
      </c>
      <c r="C23" s="360" t="s">
        <v>5</v>
      </c>
      <c r="D23" s="360"/>
      <c r="E23" s="360"/>
      <c r="F23" s="7"/>
      <c r="G23" s="7"/>
    </row>
    <row r="24" spans="1:7" x14ac:dyDescent="0.3">
      <c r="A24" s="7"/>
      <c r="B24" s="7"/>
      <c r="C24" s="120" t="s">
        <v>6</v>
      </c>
      <c r="D24" s="52" t="str">
        <f>'1 New Signal Install'!D32</f>
        <v>YES</v>
      </c>
      <c r="E24" s="15"/>
      <c r="F24" s="7"/>
      <c r="G24" s="7"/>
    </row>
    <row r="25" spans="1:7" ht="28.8" x14ac:dyDescent="0.3">
      <c r="A25" s="7"/>
      <c r="B25" s="7"/>
      <c r="C25" s="39" t="s">
        <v>9</v>
      </c>
      <c r="D25" s="52" t="str">
        <f>'1 New Signal Install'!D33</f>
        <v>YES</v>
      </c>
      <c r="E25" s="15"/>
      <c r="F25" s="7"/>
      <c r="G25" s="7"/>
    </row>
    <row r="26" spans="1:7" x14ac:dyDescent="0.3">
      <c r="A26" s="7"/>
      <c r="B26" s="7"/>
      <c r="C26" s="120" t="s">
        <v>20</v>
      </c>
      <c r="D26" s="52" t="str">
        <f>D25</f>
        <v>YES</v>
      </c>
      <c r="E26" s="15"/>
      <c r="F26" s="7"/>
      <c r="G26" s="7"/>
    </row>
    <row r="27" spans="1:7" x14ac:dyDescent="0.3">
      <c r="A27" s="7"/>
      <c r="B27" s="7"/>
      <c r="C27" s="7"/>
      <c r="D27" s="7"/>
      <c r="E27" s="7"/>
      <c r="F27" s="7"/>
      <c r="G27" s="7"/>
    </row>
    <row r="28" spans="1:7" x14ac:dyDescent="0.3">
      <c r="A28" s="7"/>
      <c r="B28" s="7"/>
      <c r="C28" s="7"/>
      <c r="D28" s="7"/>
      <c r="E28" s="7"/>
      <c r="F28" s="7"/>
      <c r="G28" s="7"/>
    </row>
    <row r="29" spans="1:7" x14ac:dyDescent="0.3">
      <c r="A29" s="7"/>
      <c r="B29" s="55" t="s">
        <v>8</v>
      </c>
      <c r="C29" s="82"/>
      <c r="D29" s="82"/>
      <c r="E29" s="82"/>
      <c r="F29" s="100"/>
      <c r="G29" s="7"/>
    </row>
    <row r="30" spans="1:7" x14ac:dyDescent="0.3">
      <c r="A30" s="7"/>
      <c r="B30" s="58"/>
      <c r="C30" s="7"/>
      <c r="D30" s="7"/>
      <c r="E30" s="7"/>
      <c r="F30" s="75"/>
      <c r="G30" s="7"/>
    </row>
    <row r="31" spans="1:7" ht="31.5" customHeight="1" x14ac:dyDescent="0.3">
      <c r="A31" s="7"/>
      <c r="B31" s="56" t="s">
        <v>13</v>
      </c>
      <c r="C31" s="317" t="s">
        <v>234</v>
      </c>
      <c r="D31" s="317"/>
      <c r="E31" s="317"/>
      <c r="F31" s="75"/>
      <c r="G31" s="7"/>
    </row>
    <row r="32" spans="1:7" x14ac:dyDescent="0.3">
      <c r="A32" s="7"/>
      <c r="B32" s="57"/>
      <c r="C32" s="15"/>
      <c r="D32" s="356" t="str">
        <f>'1 New Signal Install'!D38:E38</f>
        <v>Urban</v>
      </c>
      <c r="E32" s="357"/>
      <c r="F32" s="75"/>
      <c r="G32" s="7"/>
    </row>
    <row r="33" spans="1:7" x14ac:dyDescent="0.3">
      <c r="A33" s="7"/>
      <c r="B33" s="56" t="s">
        <v>47</v>
      </c>
      <c r="C33" s="360" t="s">
        <v>80</v>
      </c>
      <c r="D33" s="360"/>
      <c r="E33" s="360"/>
      <c r="F33" s="75"/>
      <c r="G33" s="7"/>
    </row>
    <row r="34" spans="1:7" x14ac:dyDescent="0.3">
      <c r="A34" s="7"/>
      <c r="B34" s="56"/>
      <c r="C34" s="107"/>
      <c r="D34" s="17">
        <f>'1 New Signal Install'!D40</f>
        <v>1</v>
      </c>
      <c r="E34" s="15" t="s">
        <v>81</v>
      </c>
      <c r="F34" s="75"/>
      <c r="G34" s="7"/>
    </row>
    <row r="35" spans="1:7" x14ac:dyDescent="0.3">
      <c r="A35" s="7"/>
      <c r="B35" s="56"/>
      <c r="C35" s="208"/>
      <c r="D35" s="17">
        <f>'1 New Signal Install'!D41</f>
        <v>5</v>
      </c>
      <c r="E35" s="15" t="s">
        <v>86</v>
      </c>
      <c r="F35" s="75"/>
      <c r="G35" s="7"/>
    </row>
    <row r="36" spans="1:7" x14ac:dyDescent="0.3">
      <c r="A36" s="7"/>
      <c r="B36" s="56"/>
      <c r="C36" s="107"/>
      <c r="D36" s="17">
        <f>'1 New Signal Install'!D42</f>
        <v>6</v>
      </c>
      <c r="E36" s="15" t="s">
        <v>85</v>
      </c>
      <c r="F36" s="75"/>
      <c r="G36" s="7"/>
    </row>
    <row r="37" spans="1:7" x14ac:dyDescent="0.3">
      <c r="A37" s="7"/>
      <c r="B37" s="56"/>
      <c r="C37" s="208"/>
      <c r="D37" s="17">
        <f>'1 New Signal Install'!D43</f>
        <v>7</v>
      </c>
      <c r="E37" s="15" t="s">
        <v>87</v>
      </c>
      <c r="F37" s="75"/>
      <c r="G37" s="7"/>
    </row>
    <row r="38" spans="1:7" x14ac:dyDescent="0.3">
      <c r="A38" s="7"/>
      <c r="B38" s="56"/>
      <c r="C38" s="107"/>
      <c r="D38" s="17">
        <f>'1 New Signal Install'!D44</f>
        <v>8</v>
      </c>
      <c r="E38" s="15" t="s">
        <v>83</v>
      </c>
      <c r="F38" s="75"/>
      <c r="G38" s="7"/>
    </row>
    <row r="39" spans="1:7" x14ac:dyDescent="0.3">
      <c r="A39" s="7"/>
      <c r="B39" s="57"/>
      <c r="C39" s="15"/>
      <c r="D39" s="16"/>
      <c r="E39" s="15"/>
      <c r="F39" s="75"/>
      <c r="G39" s="7"/>
    </row>
    <row r="40" spans="1:7" x14ac:dyDescent="0.3">
      <c r="A40" s="7"/>
      <c r="B40" s="56" t="s">
        <v>76</v>
      </c>
      <c r="C40" s="352" t="s">
        <v>89</v>
      </c>
      <c r="D40" s="352"/>
      <c r="E40" s="352"/>
      <c r="F40" s="75"/>
      <c r="G40" s="7"/>
    </row>
    <row r="41" spans="1:7" x14ac:dyDescent="0.3">
      <c r="A41" s="7"/>
      <c r="B41" s="57"/>
      <c r="C41" s="15"/>
      <c r="D41" s="17">
        <f>'1 New Signal Install'!D47</f>
        <v>20</v>
      </c>
      <c r="E41" s="7" t="s">
        <v>90</v>
      </c>
      <c r="F41" s="75"/>
      <c r="G41" s="7"/>
    </row>
    <row r="42" spans="1:7" x14ac:dyDescent="0.3">
      <c r="A42" s="7"/>
      <c r="B42" s="57"/>
      <c r="C42" s="15"/>
      <c r="D42" s="15"/>
      <c r="E42" s="15"/>
      <c r="F42" s="75"/>
      <c r="G42" s="7"/>
    </row>
    <row r="43" spans="1:7" ht="27.75" customHeight="1" x14ac:dyDescent="0.3">
      <c r="A43" s="7"/>
      <c r="B43" s="56" t="s">
        <v>93</v>
      </c>
      <c r="C43" s="360" t="s">
        <v>88</v>
      </c>
      <c r="D43" s="360"/>
      <c r="E43" s="360"/>
      <c r="F43" s="75"/>
      <c r="G43" s="7"/>
    </row>
    <row r="44" spans="1:7" x14ac:dyDescent="0.3">
      <c r="A44" s="7"/>
      <c r="B44" s="57"/>
      <c r="C44" s="15"/>
      <c r="D44" s="134">
        <f>PARAMETERS!E8</f>
        <v>1513782</v>
      </c>
      <c r="E44" s="15" t="s">
        <v>81</v>
      </c>
      <c r="F44" s="75"/>
      <c r="G44" s="7"/>
    </row>
    <row r="45" spans="1:7" x14ac:dyDescent="0.3">
      <c r="A45" s="7"/>
      <c r="B45" s="57"/>
      <c r="C45" s="15"/>
      <c r="D45" s="134">
        <f>PARAMETERS!E9</f>
        <v>74284.56</v>
      </c>
      <c r="E45" s="15" t="s">
        <v>86</v>
      </c>
      <c r="F45" s="75"/>
      <c r="G45" s="7"/>
    </row>
    <row r="46" spans="1:7" x14ac:dyDescent="0.3">
      <c r="A46" s="7"/>
      <c r="B46" s="57"/>
      <c r="C46" s="15"/>
      <c r="D46" s="134">
        <f>PARAMETERS!E10</f>
        <v>23929.200000000001</v>
      </c>
      <c r="E46" s="15" t="s">
        <v>85</v>
      </c>
      <c r="F46" s="75"/>
      <c r="G46" s="7"/>
    </row>
    <row r="47" spans="1:7" x14ac:dyDescent="0.3">
      <c r="A47" s="7"/>
      <c r="B47" s="57"/>
      <c r="C47" s="15"/>
      <c r="D47" s="134">
        <f>PARAMETERS!E11</f>
        <v>13525.2</v>
      </c>
      <c r="E47" s="15" t="s">
        <v>87</v>
      </c>
      <c r="F47" s="75"/>
      <c r="G47" s="7"/>
    </row>
    <row r="48" spans="1:7" x14ac:dyDescent="0.3">
      <c r="A48" s="7"/>
      <c r="B48" s="57"/>
      <c r="C48" s="15"/>
      <c r="D48" s="134">
        <f>PARAMETERS!E12</f>
        <v>9571.68</v>
      </c>
      <c r="E48" s="15" t="s">
        <v>83</v>
      </c>
      <c r="F48" s="75"/>
      <c r="G48" s="7"/>
    </row>
    <row r="49" spans="1:7" x14ac:dyDescent="0.3">
      <c r="A49" s="7"/>
      <c r="B49" s="57"/>
      <c r="C49" s="15"/>
      <c r="D49" s="15"/>
      <c r="E49" s="15"/>
      <c r="F49" s="75"/>
      <c r="G49" s="7"/>
    </row>
    <row r="50" spans="1:7" x14ac:dyDescent="0.3">
      <c r="A50" s="7"/>
      <c r="B50" s="56" t="s">
        <v>94</v>
      </c>
      <c r="C50" s="361" t="s">
        <v>91</v>
      </c>
      <c r="D50" s="361"/>
      <c r="E50" s="361"/>
      <c r="F50" s="75"/>
      <c r="G50" s="7"/>
    </row>
    <row r="51" spans="1:7" x14ac:dyDescent="0.3">
      <c r="A51" s="7"/>
      <c r="B51" s="57"/>
      <c r="C51" s="15"/>
      <c r="D51" s="135">
        <f>PARAMETERS!E13</f>
        <v>0.96</v>
      </c>
      <c r="E51" s="15" t="s">
        <v>79</v>
      </c>
      <c r="F51" s="75"/>
      <c r="G51" s="7"/>
    </row>
    <row r="52" spans="1:7" x14ac:dyDescent="0.3">
      <c r="A52" s="7"/>
      <c r="B52" s="57"/>
      <c r="C52" s="15"/>
      <c r="D52" s="135">
        <f>PARAMETERS!E14</f>
        <v>1.05</v>
      </c>
      <c r="E52" s="15" t="s">
        <v>78</v>
      </c>
      <c r="F52" s="75"/>
      <c r="G52" s="7"/>
    </row>
    <row r="53" spans="1:7" x14ac:dyDescent="0.3">
      <c r="A53" s="7"/>
      <c r="B53" s="57"/>
      <c r="C53" s="15"/>
      <c r="D53" s="15"/>
      <c r="E53" s="15"/>
      <c r="F53" s="75"/>
      <c r="G53" s="7"/>
    </row>
    <row r="54" spans="1:7" x14ac:dyDescent="0.3">
      <c r="A54" s="7"/>
      <c r="B54" s="56" t="s">
        <v>95</v>
      </c>
      <c r="C54" s="361" t="s">
        <v>122</v>
      </c>
      <c r="D54" s="361"/>
      <c r="E54" s="361"/>
      <c r="F54" s="75"/>
      <c r="G54" s="7"/>
    </row>
    <row r="55" spans="1:7" x14ac:dyDescent="0.3">
      <c r="A55" s="7"/>
      <c r="B55" s="57"/>
      <c r="C55" s="15"/>
      <c r="D55" s="136">
        <f>(IF($D$32="Rural", $D$51,$D$52))*$D$41*(D34/SUM($D$34:$D$38))</f>
        <v>0.77777777777777768</v>
      </c>
      <c r="E55" s="15" t="s">
        <v>81</v>
      </c>
      <c r="F55" s="75"/>
      <c r="G55" s="7"/>
    </row>
    <row r="56" spans="1:7" x14ac:dyDescent="0.3">
      <c r="A56" s="7"/>
      <c r="B56" s="57"/>
      <c r="C56" s="15"/>
      <c r="D56" s="136">
        <f t="shared" ref="D56:D59" si="0">(IF($D$32="Rural", $D$51,$D$52))*$D$41*(D35/SUM($D$34:$D$38))</f>
        <v>3.8888888888888888</v>
      </c>
      <c r="E56" s="15" t="s">
        <v>86</v>
      </c>
      <c r="F56" s="75"/>
      <c r="G56" s="7"/>
    </row>
    <row r="57" spans="1:7" x14ac:dyDescent="0.3">
      <c r="A57" s="7"/>
      <c r="B57" s="57"/>
      <c r="C57" s="15"/>
      <c r="D57" s="136">
        <f t="shared" si="0"/>
        <v>4.6666666666666661</v>
      </c>
      <c r="E57" s="15" t="s">
        <v>85</v>
      </c>
      <c r="F57" s="75"/>
      <c r="G57" s="7"/>
    </row>
    <row r="58" spans="1:7" x14ac:dyDescent="0.3">
      <c r="A58" s="7"/>
      <c r="B58" s="57"/>
      <c r="C58" s="15"/>
      <c r="D58" s="136">
        <f t="shared" si="0"/>
        <v>5.4444444444444438</v>
      </c>
      <c r="E58" s="15" t="s">
        <v>87</v>
      </c>
      <c r="F58" s="75"/>
      <c r="G58" s="7"/>
    </row>
    <row r="59" spans="1:7" x14ac:dyDescent="0.3">
      <c r="A59" s="7"/>
      <c r="B59" s="57"/>
      <c r="C59" s="15"/>
      <c r="D59" s="136">
        <f t="shared" si="0"/>
        <v>6.2222222222222214</v>
      </c>
      <c r="E59" s="15" t="s">
        <v>83</v>
      </c>
      <c r="F59" s="75"/>
      <c r="G59" s="7"/>
    </row>
    <row r="60" spans="1:7" x14ac:dyDescent="0.3">
      <c r="A60" s="7"/>
      <c r="B60" s="57"/>
      <c r="C60" s="15"/>
      <c r="D60" s="137"/>
      <c r="E60" s="15"/>
      <c r="F60" s="75"/>
      <c r="G60" s="7"/>
    </row>
    <row r="61" spans="1:7" x14ac:dyDescent="0.3">
      <c r="A61" s="7"/>
      <c r="B61" s="56" t="s">
        <v>96</v>
      </c>
      <c r="C61" s="361" t="s">
        <v>92</v>
      </c>
      <c r="D61" s="361"/>
      <c r="E61" s="361"/>
      <c r="F61" s="75"/>
      <c r="G61" s="7"/>
    </row>
    <row r="62" spans="1:7" x14ac:dyDescent="0.3">
      <c r="A62" s="7"/>
      <c r="B62" s="57"/>
      <c r="C62" s="15"/>
      <c r="D62" s="138">
        <f>(D34-D55)*D44</f>
        <v>336396.00000000017</v>
      </c>
      <c r="E62" s="15" t="s">
        <v>81</v>
      </c>
      <c r="F62" s="75"/>
      <c r="G62" s="7"/>
    </row>
    <row r="63" spans="1:7" x14ac:dyDescent="0.3">
      <c r="A63" s="7"/>
      <c r="B63" s="57"/>
      <c r="C63" s="15"/>
      <c r="D63" s="138">
        <f t="shared" ref="D63:D66" si="1">(D35-D56)*D45</f>
        <v>82538.399999999994</v>
      </c>
      <c r="E63" s="15" t="s">
        <v>86</v>
      </c>
      <c r="F63" s="75"/>
      <c r="G63" s="7"/>
    </row>
    <row r="64" spans="1:7" x14ac:dyDescent="0.3">
      <c r="A64" s="7"/>
      <c r="B64" s="57"/>
      <c r="C64" s="15"/>
      <c r="D64" s="138">
        <f t="shared" si="1"/>
        <v>31905.600000000017</v>
      </c>
      <c r="E64" s="15" t="s">
        <v>85</v>
      </c>
      <c r="F64" s="75"/>
      <c r="G64" s="7"/>
    </row>
    <row r="65" spans="1:8" x14ac:dyDescent="0.3">
      <c r="A65" s="7"/>
      <c r="B65" s="57"/>
      <c r="C65" s="15"/>
      <c r="D65" s="138">
        <f t="shared" si="1"/>
        <v>21039.200000000012</v>
      </c>
      <c r="E65" s="15" t="s">
        <v>87</v>
      </c>
      <c r="F65" s="75"/>
      <c r="G65" s="7"/>
    </row>
    <row r="66" spans="1:8" x14ac:dyDescent="0.3">
      <c r="A66" s="7"/>
      <c r="B66" s="57"/>
      <c r="C66" s="15"/>
      <c r="D66" s="138">
        <f t="shared" si="1"/>
        <v>17016.320000000007</v>
      </c>
      <c r="E66" s="15" t="s">
        <v>83</v>
      </c>
      <c r="F66" s="75"/>
      <c r="G66" s="7"/>
    </row>
    <row r="67" spans="1:8" ht="15" thickBot="1" x14ac:dyDescent="0.35">
      <c r="A67" s="7"/>
      <c r="B67" s="57"/>
      <c r="C67" s="15"/>
      <c r="D67" s="15"/>
      <c r="E67" s="15"/>
      <c r="F67" s="75"/>
      <c r="G67" s="7"/>
    </row>
    <row r="68" spans="1:8" ht="15.6" thickTop="1" thickBot="1" x14ac:dyDescent="0.35">
      <c r="A68" s="7"/>
      <c r="B68" s="57"/>
      <c r="C68" s="15"/>
      <c r="D68" s="140" t="s">
        <v>98</v>
      </c>
      <c r="E68" s="141">
        <f>IF(AND(SUM(D62:D66)&gt;0,D24="YES"),ROUND(SUM(D62:D66),-3),0)</f>
        <v>489000</v>
      </c>
      <c r="F68" s="75"/>
      <c r="G68" s="7"/>
    </row>
    <row r="69" spans="1:8" ht="15" thickTop="1" x14ac:dyDescent="0.3">
      <c r="A69" s="7"/>
      <c r="B69" s="60"/>
      <c r="C69" s="132"/>
      <c r="D69" s="132"/>
      <c r="E69" s="132"/>
      <c r="F69" s="99"/>
      <c r="G69" s="7"/>
    </row>
    <row r="70" spans="1:8" x14ac:dyDescent="0.3">
      <c r="A70" s="7"/>
      <c r="B70" s="7"/>
      <c r="C70" s="7"/>
      <c r="D70" s="7"/>
      <c r="E70" s="7"/>
      <c r="F70" s="7"/>
      <c r="G70" s="7"/>
    </row>
    <row r="71" spans="1:8" x14ac:dyDescent="0.3">
      <c r="A71" s="7"/>
      <c r="B71" s="55" t="s">
        <v>14</v>
      </c>
      <c r="C71" s="82"/>
      <c r="D71" s="82"/>
      <c r="E71" s="82"/>
      <c r="F71" s="100"/>
      <c r="G71" s="7"/>
    </row>
    <row r="72" spans="1:8" x14ac:dyDescent="0.3">
      <c r="A72" s="7"/>
      <c r="B72" s="58"/>
      <c r="C72" s="7"/>
      <c r="D72" s="7"/>
      <c r="E72" s="7"/>
      <c r="F72" s="75"/>
      <c r="G72" s="7"/>
    </row>
    <row r="73" spans="1:8" ht="15" customHeight="1" x14ac:dyDescent="0.3">
      <c r="A73" s="7"/>
      <c r="B73" s="56" t="s">
        <v>15</v>
      </c>
      <c r="C73" s="317" t="s">
        <v>111</v>
      </c>
      <c r="D73" s="317"/>
      <c r="E73" s="317"/>
      <c r="F73" s="75"/>
      <c r="G73" s="7"/>
    </row>
    <row r="74" spans="1:8" x14ac:dyDescent="0.3">
      <c r="A74" s="7"/>
      <c r="B74" s="57"/>
      <c r="C74" s="7"/>
      <c r="D74" s="52">
        <f>'1 New Signal Install'!D55</f>
        <v>0</v>
      </c>
      <c r="E74" s="7"/>
      <c r="F74" s="75"/>
      <c r="G74" s="7"/>
    </row>
    <row r="75" spans="1:8" x14ac:dyDescent="0.3">
      <c r="A75" s="7"/>
      <c r="B75" s="57"/>
      <c r="C75" s="7"/>
      <c r="D75" s="210"/>
      <c r="E75" s="7"/>
      <c r="F75" s="75"/>
      <c r="G75" s="7"/>
    </row>
    <row r="76" spans="1:8" ht="30" customHeight="1" x14ac:dyDescent="0.3">
      <c r="A76" s="7"/>
      <c r="B76" s="56" t="s">
        <v>97</v>
      </c>
      <c r="C76" s="317" t="s">
        <v>474</v>
      </c>
      <c r="D76" s="317"/>
      <c r="E76" s="317"/>
      <c r="F76" s="75"/>
      <c r="G76" s="7"/>
    </row>
    <row r="77" spans="1:8" x14ac:dyDescent="0.3">
      <c r="A77" s="7"/>
      <c r="B77" s="57"/>
      <c r="C77" s="7"/>
      <c r="D77" s="31">
        <f>'1 New Signal Install'!D58</f>
        <v>0</v>
      </c>
      <c r="E77" s="7" t="s">
        <v>404</v>
      </c>
      <c r="F77" s="75"/>
      <c r="G77" s="7"/>
    </row>
    <row r="78" spans="1:8" x14ac:dyDescent="0.3">
      <c r="A78" s="7"/>
      <c r="B78" s="57"/>
      <c r="C78" s="7"/>
      <c r="D78" s="7"/>
      <c r="E78" s="7"/>
      <c r="F78" s="75"/>
      <c r="G78" s="7"/>
    </row>
    <row r="79" spans="1:8" x14ac:dyDescent="0.3">
      <c r="A79" s="7"/>
      <c r="B79" s="56" t="s">
        <v>99</v>
      </c>
      <c r="C79" s="352" t="s">
        <v>516</v>
      </c>
      <c r="D79" s="352"/>
      <c r="E79" s="352"/>
      <c r="F79" s="75"/>
      <c r="G79" s="7"/>
      <c r="H79" s="42"/>
    </row>
    <row r="80" spans="1:8" x14ac:dyDescent="0.3">
      <c r="A80" s="7"/>
      <c r="B80" s="57"/>
      <c r="C80" s="7"/>
      <c r="D80" s="31">
        <f>'1 New Signal Install'!D61</f>
        <v>0</v>
      </c>
      <c r="E80" s="7" t="s">
        <v>517</v>
      </c>
      <c r="F80" s="75"/>
      <c r="G80" s="7"/>
      <c r="H80" s="42"/>
    </row>
    <row r="81" spans="1:8" x14ac:dyDescent="0.3">
      <c r="A81" s="7"/>
      <c r="B81" s="57"/>
      <c r="C81" s="7"/>
      <c r="D81" s="144"/>
      <c r="E81" s="7"/>
      <c r="F81" s="75"/>
      <c r="G81" s="7"/>
      <c r="H81" s="42"/>
    </row>
    <row r="82" spans="1:8" x14ac:dyDescent="0.3">
      <c r="A82" s="7"/>
      <c r="B82" s="56" t="s">
        <v>99</v>
      </c>
      <c r="C82" s="7" t="s">
        <v>102</v>
      </c>
      <c r="D82" s="135">
        <f>PARAMETERS!J8</f>
        <v>1.59</v>
      </c>
      <c r="E82" s="7" t="s">
        <v>103</v>
      </c>
      <c r="F82" s="75"/>
      <c r="G82" s="7"/>
    </row>
    <row r="83" spans="1:8" x14ac:dyDescent="0.3">
      <c r="A83" s="7"/>
      <c r="B83" s="57"/>
      <c r="C83" s="7"/>
      <c r="D83" s="7"/>
      <c r="E83" s="7"/>
      <c r="F83" s="75"/>
      <c r="G83" s="7"/>
    </row>
    <row r="84" spans="1:8" ht="30" customHeight="1" x14ac:dyDescent="0.3">
      <c r="A84" s="7"/>
      <c r="B84" s="56" t="s">
        <v>104</v>
      </c>
      <c r="C84" s="317" t="s">
        <v>105</v>
      </c>
      <c r="D84" s="317"/>
      <c r="E84" s="317"/>
      <c r="F84" s="75"/>
      <c r="G84" s="7"/>
    </row>
    <row r="85" spans="1:8" x14ac:dyDescent="0.3">
      <c r="A85" s="7"/>
      <c r="B85" s="57"/>
      <c r="C85" s="7"/>
      <c r="D85" s="147">
        <f>((0.1*D77*D80*52*5)/(60*60))*D82</f>
        <v>0</v>
      </c>
      <c r="E85" s="7" t="s">
        <v>106</v>
      </c>
      <c r="F85" s="75"/>
      <c r="G85" s="7"/>
      <c r="H85" s="4" t="s">
        <v>519</v>
      </c>
    </row>
    <row r="86" spans="1:8" x14ac:dyDescent="0.3">
      <c r="A86" s="7"/>
      <c r="B86" s="57"/>
      <c r="C86" s="7"/>
      <c r="D86" s="7"/>
      <c r="E86" s="7"/>
      <c r="F86" s="75"/>
      <c r="G86" s="7"/>
    </row>
    <row r="87" spans="1:8" x14ac:dyDescent="0.3">
      <c r="A87" s="7"/>
      <c r="B87" s="56" t="s">
        <v>107</v>
      </c>
      <c r="C87" s="7" t="s">
        <v>341</v>
      </c>
      <c r="D87" s="148">
        <f>PARAMETERS!J9</f>
        <v>15.25</v>
      </c>
      <c r="E87" s="7" t="s">
        <v>348</v>
      </c>
      <c r="F87" s="75"/>
      <c r="G87" s="7"/>
    </row>
    <row r="88" spans="1:8" ht="15" thickBot="1" x14ac:dyDescent="0.35">
      <c r="A88" s="7"/>
      <c r="B88" s="56"/>
      <c r="C88" s="7"/>
      <c r="D88" s="7"/>
      <c r="E88" s="7"/>
      <c r="F88" s="75"/>
      <c r="G88" s="7"/>
    </row>
    <row r="89" spans="1:8" ht="15.6" thickTop="1" thickBot="1" x14ac:dyDescent="0.35">
      <c r="A89" s="7"/>
      <c r="B89" s="56"/>
      <c r="C89" s="7"/>
      <c r="D89" s="140" t="s">
        <v>109</v>
      </c>
      <c r="E89" s="141">
        <f>IF(D25="YES",ROUND((D87)*D85,-3),0)</f>
        <v>0</v>
      </c>
      <c r="F89" s="75"/>
      <c r="G89" s="7"/>
    </row>
    <row r="90" spans="1:8" ht="15" thickTop="1" x14ac:dyDescent="0.3">
      <c r="A90" s="7"/>
      <c r="B90" s="60"/>
      <c r="C90" s="132"/>
      <c r="D90" s="132"/>
      <c r="E90" s="132"/>
      <c r="F90" s="99"/>
      <c r="G90" s="7"/>
    </row>
    <row r="91" spans="1:8" x14ac:dyDescent="0.3">
      <c r="A91" s="7"/>
      <c r="B91" s="7"/>
      <c r="C91" s="7"/>
      <c r="D91" s="7"/>
      <c r="E91" s="7"/>
      <c r="F91" s="7"/>
      <c r="G91" s="7"/>
    </row>
    <row r="92" spans="1:8" x14ac:dyDescent="0.3">
      <c r="A92" s="7"/>
      <c r="B92" s="55" t="s">
        <v>65</v>
      </c>
      <c r="C92" s="82"/>
      <c r="D92" s="82"/>
      <c r="E92" s="82"/>
      <c r="F92" s="100"/>
      <c r="G92" s="7"/>
    </row>
    <row r="93" spans="1:8" x14ac:dyDescent="0.3">
      <c r="A93" s="7"/>
      <c r="B93" s="58"/>
      <c r="C93" s="7"/>
      <c r="D93" s="7"/>
      <c r="E93" s="7"/>
      <c r="F93" s="75"/>
      <c r="G93" s="7"/>
    </row>
    <row r="94" spans="1:8" x14ac:dyDescent="0.3">
      <c r="A94" s="7"/>
      <c r="B94" s="56" t="s">
        <v>49</v>
      </c>
      <c r="C94" s="352" t="s">
        <v>100</v>
      </c>
      <c r="D94" s="352"/>
      <c r="E94" s="352"/>
      <c r="F94" s="75"/>
      <c r="G94" s="7"/>
    </row>
    <row r="95" spans="1:8" x14ac:dyDescent="0.3">
      <c r="A95" s="7"/>
      <c r="B95" s="57"/>
      <c r="C95" s="7"/>
      <c r="D95" s="49">
        <f>D80</f>
        <v>0</v>
      </c>
      <c r="E95" s="7" t="s">
        <v>101</v>
      </c>
      <c r="F95" s="75"/>
      <c r="G95" s="7"/>
    </row>
    <row r="96" spans="1:8" x14ac:dyDescent="0.3">
      <c r="A96" s="7"/>
      <c r="B96" s="57"/>
      <c r="C96" s="7"/>
      <c r="D96" s="144"/>
      <c r="E96" s="7"/>
      <c r="F96" s="75"/>
      <c r="G96" s="7"/>
    </row>
    <row r="97" spans="1:7" ht="29.25" customHeight="1" x14ac:dyDescent="0.3">
      <c r="A97" s="7"/>
      <c r="B97" s="57" t="s">
        <v>118</v>
      </c>
      <c r="C97" s="317" t="s">
        <v>105</v>
      </c>
      <c r="D97" s="317"/>
      <c r="E97" s="317"/>
      <c r="F97" s="75"/>
      <c r="G97" s="7"/>
    </row>
    <row r="98" spans="1:7" x14ac:dyDescent="0.3">
      <c r="A98" s="7"/>
      <c r="B98" s="57"/>
      <c r="C98" s="7"/>
      <c r="D98" s="147">
        <f>D85</f>
        <v>0</v>
      </c>
      <c r="E98" s="7" t="s">
        <v>106</v>
      </c>
      <c r="F98" s="75"/>
      <c r="G98" s="7"/>
    </row>
    <row r="99" spans="1:7" x14ac:dyDescent="0.3">
      <c r="A99" s="7"/>
      <c r="B99" s="57"/>
      <c r="C99" s="7"/>
      <c r="D99" s="7"/>
      <c r="E99" s="7"/>
      <c r="F99" s="75"/>
      <c r="G99" s="7"/>
    </row>
    <row r="100" spans="1:7" ht="49.5" customHeight="1" x14ac:dyDescent="0.3">
      <c r="A100" s="7"/>
      <c r="B100" s="57" t="s">
        <v>119</v>
      </c>
      <c r="C100" s="359" t="s">
        <v>179</v>
      </c>
      <c r="D100" s="359"/>
      <c r="E100" s="359"/>
      <c r="F100" s="75"/>
      <c r="G100" s="7"/>
    </row>
    <row r="101" spans="1:7" x14ac:dyDescent="0.3">
      <c r="A101" s="7"/>
      <c r="B101" s="57"/>
      <c r="C101" s="108"/>
      <c r="D101" s="26">
        <f>PARAMETERS!E23</f>
        <v>7.0000000000000007E-2</v>
      </c>
      <c r="E101" s="22" t="s">
        <v>112</v>
      </c>
      <c r="F101" s="75"/>
      <c r="G101" s="7"/>
    </row>
    <row r="102" spans="1:7" x14ac:dyDescent="0.3">
      <c r="A102" s="7"/>
      <c r="B102" s="57"/>
      <c r="C102" s="108"/>
      <c r="D102" s="22"/>
      <c r="E102" s="22"/>
      <c r="F102" s="75"/>
      <c r="G102" s="7"/>
    </row>
    <row r="103" spans="1:7" x14ac:dyDescent="0.3">
      <c r="A103" s="7"/>
      <c r="B103" s="57" t="s">
        <v>123</v>
      </c>
      <c r="C103" s="28" t="s">
        <v>120</v>
      </c>
      <c r="D103" s="27">
        <f>D101*D98*60</f>
        <v>0</v>
      </c>
      <c r="E103" s="22" t="s">
        <v>113</v>
      </c>
      <c r="F103" s="75"/>
      <c r="G103" s="7"/>
    </row>
    <row r="104" spans="1:7" x14ac:dyDescent="0.3">
      <c r="A104" s="7"/>
      <c r="B104" s="57"/>
      <c r="C104" s="28"/>
      <c r="D104" s="22"/>
      <c r="E104" s="22"/>
      <c r="F104" s="75"/>
      <c r="G104" s="7"/>
    </row>
    <row r="105" spans="1:7" x14ac:dyDescent="0.3">
      <c r="A105" s="7"/>
      <c r="B105" s="57" t="s">
        <v>124</v>
      </c>
      <c r="C105" s="29" t="s">
        <v>121</v>
      </c>
      <c r="D105" s="26">
        <f>PARAMETERS!E22</f>
        <v>2.13</v>
      </c>
      <c r="E105" s="22" t="s">
        <v>114</v>
      </c>
      <c r="F105" s="75"/>
      <c r="G105" s="7"/>
    </row>
    <row r="106" spans="1:7" ht="15" thickBot="1" x14ac:dyDescent="0.35">
      <c r="A106" s="7"/>
      <c r="B106" s="58"/>
      <c r="C106" s="29"/>
      <c r="D106" s="22"/>
      <c r="E106" s="22"/>
      <c r="F106" s="75"/>
      <c r="G106" s="7"/>
    </row>
    <row r="107" spans="1:7" ht="15.6" thickTop="1" thickBot="1" x14ac:dyDescent="0.35">
      <c r="A107" s="7"/>
      <c r="B107" s="58"/>
      <c r="C107" s="29"/>
      <c r="D107" s="140" t="s">
        <v>181</v>
      </c>
      <c r="E107" s="141">
        <f>D105*D103</f>
        <v>0</v>
      </c>
      <c r="F107" s="75"/>
      <c r="G107" s="7"/>
    </row>
    <row r="108" spans="1:7" ht="15" thickTop="1" x14ac:dyDescent="0.3">
      <c r="A108" s="7"/>
      <c r="B108" s="58"/>
      <c r="C108" s="25"/>
      <c r="D108" s="23"/>
      <c r="E108" s="23"/>
      <c r="F108" s="75"/>
      <c r="G108" s="7"/>
    </row>
    <row r="109" spans="1:7" ht="28.8" x14ac:dyDescent="0.3">
      <c r="A109" s="7"/>
      <c r="B109" s="57" t="s">
        <v>126</v>
      </c>
      <c r="C109" s="107" t="s">
        <v>180</v>
      </c>
      <c r="D109" s="26">
        <f>PARAMETERS!E24</f>
        <v>8.9200000000000008E-3</v>
      </c>
      <c r="E109" s="15" t="s">
        <v>115</v>
      </c>
      <c r="F109" s="75"/>
      <c r="G109" s="7"/>
    </row>
    <row r="110" spans="1:7" x14ac:dyDescent="0.3">
      <c r="A110" s="7"/>
      <c r="B110" s="57"/>
      <c r="C110" s="107"/>
      <c r="D110" s="24"/>
      <c r="E110" s="15"/>
      <c r="F110" s="75"/>
      <c r="G110" s="7"/>
    </row>
    <row r="111" spans="1:7" ht="28.8" x14ac:dyDescent="0.3">
      <c r="A111" s="7"/>
      <c r="B111" s="57" t="s">
        <v>127</v>
      </c>
      <c r="C111" s="107" t="s">
        <v>129</v>
      </c>
      <c r="D111" s="27">
        <f>D109*D103</f>
        <v>0</v>
      </c>
      <c r="E111" s="15" t="s">
        <v>116</v>
      </c>
      <c r="F111" s="75"/>
      <c r="G111" s="7"/>
    </row>
    <row r="112" spans="1:7" x14ac:dyDescent="0.3">
      <c r="A112" s="7"/>
      <c r="B112" s="57"/>
      <c r="C112" s="107"/>
      <c r="D112" s="24"/>
      <c r="E112" s="15"/>
      <c r="F112" s="75"/>
      <c r="G112" s="7"/>
    </row>
    <row r="113" spans="1:9" x14ac:dyDescent="0.3">
      <c r="A113" s="7"/>
      <c r="B113" s="57" t="s">
        <v>128</v>
      </c>
      <c r="C113" s="30" t="s">
        <v>184</v>
      </c>
      <c r="D113" s="278">
        <f>PARAMETERS!E25</f>
        <v>28.24</v>
      </c>
      <c r="E113" s="7" t="s">
        <v>117</v>
      </c>
      <c r="F113" s="75"/>
      <c r="G113" s="7"/>
      <c r="H113" s="4" t="s">
        <v>183</v>
      </c>
      <c r="I113" s="172"/>
    </row>
    <row r="114" spans="1:9" ht="15" thickBot="1" x14ac:dyDescent="0.35">
      <c r="A114" s="7"/>
      <c r="B114" s="58"/>
      <c r="C114" s="22"/>
      <c r="D114" s="22"/>
      <c r="E114" s="22"/>
      <c r="F114" s="75"/>
      <c r="G114" s="7"/>
    </row>
    <row r="115" spans="1:9" ht="15.6" thickTop="1" thickBot="1" x14ac:dyDescent="0.35">
      <c r="A115" s="7"/>
      <c r="B115" s="58"/>
      <c r="C115" s="25"/>
      <c r="D115" s="140" t="s">
        <v>182</v>
      </c>
      <c r="E115" s="141">
        <f>D113*D111</f>
        <v>0</v>
      </c>
      <c r="F115" s="75"/>
      <c r="G115" s="7"/>
    </row>
    <row r="116" spans="1:9" ht="15.6" thickTop="1" thickBot="1" x14ac:dyDescent="0.35">
      <c r="A116" s="7"/>
      <c r="B116" s="58"/>
      <c r="C116" s="25"/>
      <c r="D116" s="140"/>
      <c r="E116" s="23"/>
      <c r="F116" s="75"/>
      <c r="G116" s="7"/>
    </row>
    <row r="117" spans="1:9" ht="15.6" thickTop="1" thickBot="1" x14ac:dyDescent="0.35">
      <c r="A117" s="7"/>
      <c r="B117" s="58"/>
      <c r="C117" s="7"/>
      <c r="D117" s="140" t="s">
        <v>130</v>
      </c>
      <c r="E117" s="141">
        <f>IF(D26="YES",E115+E107,0)</f>
        <v>0</v>
      </c>
      <c r="F117" s="75"/>
      <c r="G117" s="7"/>
    </row>
    <row r="118" spans="1:9" ht="15" thickTop="1" x14ac:dyDescent="0.3">
      <c r="A118" s="7"/>
      <c r="B118" s="60"/>
      <c r="C118" s="132"/>
      <c r="D118" s="132"/>
      <c r="E118" s="132"/>
      <c r="F118" s="99"/>
      <c r="G118" s="7"/>
    </row>
    <row r="119" spans="1:9" ht="15" thickBot="1" x14ac:dyDescent="0.35">
      <c r="A119" s="7"/>
      <c r="B119" s="7"/>
      <c r="C119" s="7"/>
      <c r="D119" s="7"/>
      <c r="E119" s="7"/>
      <c r="F119" s="7"/>
      <c r="G119" s="7"/>
    </row>
    <row r="120" spans="1:9" ht="19.2" thickTop="1" thickBot="1" x14ac:dyDescent="0.35">
      <c r="A120" s="7"/>
      <c r="B120" s="7"/>
      <c r="C120" s="7"/>
      <c r="D120" s="94" t="s">
        <v>132</v>
      </c>
      <c r="E120" s="93">
        <f>ROUND(SUM(E117,E89,E68),-2)</f>
        <v>489000</v>
      </c>
      <c r="F120" s="7"/>
      <c r="G120" s="7"/>
    </row>
    <row r="121" spans="1:9" ht="15" thickTop="1" x14ac:dyDescent="0.3">
      <c r="A121" s="7"/>
      <c r="B121" s="7"/>
      <c r="C121" s="7"/>
      <c r="D121" s="7"/>
      <c r="E121" s="7"/>
      <c r="F121" s="7"/>
      <c r="G121" s="7"/>
    </row>
  </sheetData>
  <mergeCells count="22">
    <mergeCell ref="C61:E61"/>
    <mergeCell ref="C2:E2"/>
    <mergeCell ref="D5:E5"/>
    <mergeCell ref="D6:E6"/>
    <mergeCell ref="D7:E7"/>
    <mergeCell ref="C23:E23"/>
    <mergeCell ref="C76:E76"/>
    <mergeCell ref="C31:E31"/>
    <mergeCell ref="D32:E32"/>
    <mergeCell ref="D10:E10"/>
    <mergeCell ref="C100:E100"/>
    <mergeCell ref="C12:E12"/>
    <mergeCell ref="C94:E94"/>
    <mergeCell ref="C97:E97"/>
    <mergeCell ref="C73:E73"/>
    <mergeCell ref="C79:E79"/>
    <mergeCell ref="C84:E84"/>
    <mergeCell ref="C33:E33"/>
    <mergeCell ref="C40:E40"/>
    <mergeCell ref="C43:E43"/>
    <mergeCell ref="C50:E50"/>
    <mergeCell ref="C54:E54"/>
  </mergeCells>
  <conditionalFormatting sqref="E33 B83:E83 B84:C84 D85 B95:B97 D98 C100 D101:E101 E39">
    <cfRule type="expression" dxfId="510" priority="143">
      <formula>"($C$15='NO')"</formula>
    </cfRule>
  </conditionalFormatting>
  <conditionalFormatting sqref="E42 E44:E49 E51:E53 E55:E60 E62:E67">
    <cfRule type="expression" dxfId="509" priority="142">
      <formula>"($C$15='NO')"</formula>
    </cfRule>
  </conditionalFormatting>
  <conditionalFormatting sqref="B99:E99 B98:C98 B104:E104 C105 C102:E103 C101 E105">
    <cfRule type="expression" dxfId="508" priority="148">
      <formula>"($C$15='NO')"</formula>
    </cfRule>
  </conditionalFormatting>
  <conditionalFormatting sqref="E55:E56">
    <cfRule type="expression" dxfId="507" priority="120">
      <formula>"($C$15='NO')"</formula>
    </cfRule>
  </conditionalFormatting>
  <conditionalFormatting sqref="E55:E60 E62:E67">
    <cfRule type="expression" dxfId="506" priority="121">
      <formula>"($C$15='NO')"</formula>
    </cfRule>
  </conditionalFormatting>
  <conditionalFormatting sqref="E46:E47">
    <cfRule type="expression" dxfId="505" priority="131">
      <formula>"($C$15='NO')"</formula>
    </cfRule>
  </conditionalFormatting>
  <conditionalFormatting sqref="B33:B38">
    <cfRule type="expression" dxfId="504" priority="139">
      <formula>"($C$15='NO')"</formula>
    </cfRule>
  </conditionalFormatting>
  <conditionalFormatting sqref="E48">
    <cfRule type="expression" dxfId="503" priority="130">
      <formula>"($C$15='NO')"</formula>
    </cfRule>
  </conditionalFormatting>
  <conditionalFormatting sqref="E41">
    <cfRule type="expression" dxfId="502" priority="129">
      <formula>"($C$15='NO')"</formula>
    </cfRule>
  </conditionalFormatting>
  <conditionalFormatting sqref="B29:E30 B40 B41:C68">
    <cfRule type="expression" dxfId="501" priority="147">
      <formula>"($C$15='NO')"</formula>
    </cfRule>
  </conditionalFormatting>
  <conditionalFormatting sqref="B92:E93 B94">
    <cfRule type="expression" dxfId="500" priority="145">
      <formula>"($C$15='NO')"</formula>
    </cfRule>
  </conditionalFormatting>
  <conditionalFormatting sqref="B31 B32:C39">
    <cfRule type="expression" dxfId="499" priority="144">
      <formula>"($C$15='NO')"</formula>
    </cfRule>
  </conditionalFormatting>
  <conditionalFormatting sqref="D44:D48 D51:D52">
    <cfRule type="expression" dxfId="498" priority="135">
      <formula>"($C$15='NO')"</formula>
    </cfRule>
  </conditionalFormatting>
  <conditionalFormatting sqref="E44:E45">
    <cfRule type="expression" dxfId="497" priority="132">
      <formula>"($C$15='NO')"</formula>
    </cfRule>
  </conditionalFormatting>
  <conditionalFormatting sqref="C40">
    <cfRule type="expression" dxfId="496" priority="127">
      <formula>"($C$15='NO')"</formula>
    </cfRule>
  </conditionalFormatting>
  <conditionalFormatting sqref="E44:E48">
    <cfRule type="expression" dxfId="495" priority="133">
      <formula>"($C$15='NO')"</formula>
    </cfRule>
  </conditionalFormatting>
  <conditionalFormatting sqref="D67">
    <cfRule type="expression" dxfId="494" priority="125">
      <formula>"($C$15='NO')"</formula>
    </cfRule>
  </conditionalFormatting>
  <conditionalFormatting sqref="D53 D55:D60 D62:D66">
    <cfRule type="expression" dxfId="493" priority="123">
      <formula>"($C$15='NO')"</formula>
    </cfRule>
  </conditionalFormatting>
  <conditionalFormatting sqref="E64:E65">
    <cfRule type="expression" dxfId="492" priority="116">
      <formula>"($C$15='NO')"</formula>
    </cfRule>
  </conditionalFormatting>
  <conditionalFormatting sqref="E62:E63">
    <cfRule type="expression" dxfId="491" priority="117">
      <formula>"($C$15='NO')"</formula>
    </cfRule>
  </conditionalFormatting>
  <conditionalFormatting sqref="E57:E58">
    <cfRule type="expression" dxfId="490" priority="119">
      <formula>"($C$15='NO')"</formula>
    </cfRule>
  </conditionalFormatting>
  <conditionalFormatting sqref="E68">
    <cfRule type="expression" dxfId="489" priority="112">
      <formula>"($C$15='NO')"</formula>
    </cfRule>
  </conditionalFormatting>
  <conditionalFormatting sqref="D68">
    <cfRule type="expression" dxfId="488" priority="110">
      <formula>"($C$15='NO')"</formula>
    </cfRule>
  </conditionalFormatting>
  <conditionalFormatting sqref="E59:E60 E62:E65">
    <cfRule type="expression" dxfId="487" priority="118">
      <formula>"($C$15='NO')"</formula>
    </cfRule>
  </conditionalFormatting>
  <conditionalFormatting sqref="D42">
    <cfRule type="expression" dxfId="486" priority="109">
      <formula>"($C$15='NO')"</formula>
    </cfRule>
  </conditionalFormatting>
  <conditionalFormatting sqref="D49">
    <cfRule type="expression" dxfId="485" priority="107">
      <formula>"($C$15='NO')"</formula>
    </cfRule>
  </conditionalFormatting>
  <conditionalFormatting sqref="E66:E67">
    <cfRule type="expression" dxfId="484" priority="115">
      <formula>"($C$15='NO')"</formula>
    </cfRule>
  </conditionalFormatting>
  <conditionalFormatting sqref="B84">
    <cfRule type="expression" dxfId="483" priority="95">
      <formula>"($C$15='NO')"</formula>
    </cfRule>
  </conditionalFormatting>
  <conditionalFormatting sqref="B71:E72 E81 B81:C82 B85:C86 E85:E86 C88:C89 E88">
    <cfRule type="expression" dxfId="482" priority="105">
      <formula>"($C$15='NO')"</formula>
    </cfRule>
  </conditionalFormatting>
  <conditionalFormatting sqref="B73 B74:C75">
    <cfRule type="expression" dxfId="481" priority="104">
      <formula>"($C$15='NO')"</formula>
    </cfRule>
  </conditionalFormatting>
  <conditionalFormatting sqref="E74:E75">
    <cfRule type="expression" dxfId="480" priority="103">
      <formula>"($C$15='NO')"</formula>
    </cfRule>
  </conditionalFormatting>
  <conditionalFormatting sqref="D81">
    <cfRule type="expression" dxfId="479" priority="100">
      <formula>"($C$15='NO')"</formula>
    </cfRule>
  </conditionalFormatting>
  <conditionalFormatting sqref="B82">
    <cfRule type="expression" dxfId="478" priority="98">
      <formula>"($C$15='NO')"</formula>
    </cfRule>
  </conditionalFormatting>
  <conditionalFormatting sqref="D82">
    <cfRule type="expression" dxfId="477" priority="97">
      <formula>"($C$15='NO')"</formula>
    </cfRule>
  </conditionalFormatting>
  <conditionalFormatting sqref="D88">
    <cfRule type="expression" dxfId="476" priority="94">
      <formula>"($C$15='NO')"</formula>
    </cfRule>
  </conditionalFormatting>
  <conditionalFormatting sqref="B87:B89">
    <cfRule type="expression" dxfId="475" priority="92">
      <formula>"($C$15='NO')"</formula>
    </cfRule>
  </conditionalFormatting>
  <conditionalFormatting sqref="B87:B89">
    <cfRule type="expression" dxfId="474" priority="90">
      <formula>"($C$15='NO')"</formula>
    </cfRule>
  </conditionalFormatting>
  <conditionalFormatting sqref="D86">
    <cfRule type="expression" dxfId="473" priority="89">
      <formula>"($C$15='NO')"</formula>
    </cfRule>
  </conditionalFormatting>
  <conditionalFormatting sqref="E89">
    <cfRule type="expression" dxfId="472" priority="87">
      <formula>"($C$15='NO')"</formula>
    </cfRule>
  </conditionalFormatting>
  <conditionalFormatting sqref="D89">
    <cfRule type="expression" dxfId="471" priority="85">
      <formula>"($C$15='NO')"</formula>
    </cfRule>
  </conditionalFormatting>
  <conditionalFormatting sqref="C94">
    <cfRule type="expression" dxfId="470" priority="77">
      <formula>"($C$15='NO')"</formula>
    </cfRule>
  </conditionalFormatting>
  <conditionalFormatting sqref="D95:D96">
    <cfRule type="expression" dxfId="469" priority="75">
      <formula>"($C$15='NO')"</formula>
    </cfRule>
  </conditionalFormatting>
  <conditionalFormatting sqref="E95:E96">
    <cfRule type="expression" dxfId="468" priority="73">
      <formula>"($C$15='NO')"</formula>
    </cfRule>
  </conditionalFormatting>
  <conditionalFormatting sqref="C97">
    <cfRule type="expression" dxfId="467" priority="69">
      <formula>"($C$15='NO')"</formula>
    </cfRule>
  </conditionalFormatting>
  <conditionalFormatting sqref="E98">
    <cfRule type="expression" dxfId="466" priority="67">
      <formula>"($C$15='NO')"</formula>
    </cfRule>
  </conditionalFormatting>
  <conditionalFormatting sqref="B100:B102">
    <cfRule type="expression" dxfId="465" priority="64">
      <formula>"($C$15='NO')"</formula>
    </cfRule>
  </conditionalFormatting>
  <conditionalFormatting sqref="B103">
    <cfRule type="expression" dxfId="464" priority="63">
      <formula>"($C$15='NO')"</formula>
    </cfRule>
  </conditionalFormatting>
  <conditionalFormatting sqref="B105">
    <cfRule type="expression" dxfId="463" priority="62">
      <formula>"($C$15='NO')"</formula>
    </cfRule>
  </conditionalFormatting>
  <conditionalFormatting sqref="E107">
    <cfRule type="expression" dxfId="462" priority="61">
      <formula>"($C$15='NO')"</formula>
    </cfRule>
  </conditionalFormatting>
  <conditionalFormatting sqref="D107">
    <cfRule type="expression" dxfId="461" priority="59">
      <formula>"($C$15='NO')"</formula>
    </cfRule>
  </conditionalFormatting>
  <conditionalFormatting sqref="B109:B110">
    <cfRule type="expression" dxfId="460" priority="58">
      <formula>"($C$15='NO')"</formula>
    </cfRule>
  </conditionalFormatting>
  <conditionalFormatting sqref="B111:B112">
    <cfRule type="expression" dxfId="459" priority="57">
      <formula>"($C$15='NO')"</formula>
    </cfRule>
  </conditionalFormatting>
  <conditionalFormatting sqref="B113">
    <cfRule type="expression" dxfId="458" priority="56">
      <formula>"($C$15='NO')"</formula>
    </cfRule>
  </conditionalFormatting>
  <conditionalFormatting sqref="E115">
    <cfRule type="expression" dxfId="457" priority="55">
      <formula>"($C$15='NO')"</formula>
    </cfRule>
  </conditionalFormatting>
  <conditionalFormatting sqref="D115:D116">
    <cfRule type="expression" dxfId="456" priority="53">
      <formula>"($C$15='NO')"</formula>
    </cfRule>
  </conditionalFormatting>
  <conditionalFormatting sqref="E117">
    <cfRule type="expression" dxfId="455" priority="52">
      <formula>"($C$15='NO')"</formula>
    </cfRule>
  </conditionalFormatting>
  <conditionalFormatting sqref="D117">
    <cfRule type="expression" dxfId="454" priority="50">
      <formula>"($C$15='NO')"</formula>
    </cfRule>
  </conditionalFormatting>
  <conditionalFormatting sqref="D120">
    <cfRule type="expression" dxfId="453" priority="29">
      <formula>"($C$15='NO')"</formula>
    </cfRule>
  </conditionalFormatting>
  <conditionalFormatting sqref="E120">
    <cfRule type="expression" dxfId="452" priority="28">
      <formula>"($C$15='NO')"</formula>
    </cfRule>
  </conditionalFormatting>
  <conditionalFormatting sqref="D105">
    <cfRule type="expression" dxfId="451" priority="25">
      <formula>"($C$15='NO')"</formula>
    </cfRule>
  </conditionalFormatting>
  <conditionalFormatting sqref="C87">
    <cfRule type="expression" dxfId="450" priority="23">
      <formula>"($C$15='NO')"</formula>
    </cfRule>
  </conditionalFormatting>
  <conditionalFormatting sqref="D87:E87">
    <cfRule type="expression" dxfId="449" priority="22">
      <formula>"($C$15='NO')"</formula>
    </cfRule>
  </conditionalFormatting>
  <conditionalFormatting sqref="E34:E38">
    <cfRule type="expression" dxfId="448" priority="20">
      <formula>"($C$15='NO')"</formula>
    </cfRule>
  </conditionalFormatting>
  <conditionalFormatting sqref="E36:E37">
    <cfRule type="expression" dxfId="447" priority="17">
      <formula>"($C$15='NO')"</formula>
    </cfRule>
  </conditionalFormatting>
  <conditionalFormatting sqref="E38">
    <cfRule type="expression" dxfId="446" priority="16">
      <formula>"($C$15='NO')"</formula>
    </cfRule>
  </conditionalFormatting>
  <conditionalFormatting sqref="E34:E35">
    <cfRule type="expression" dxfId="445" priority="18">
      <formula>"($C$15='NO')"</formula>
    </cfRule>
  </conditionalFormatting>
  <conditionalFormatting sqref="E34:E38">
    <cfRule type="expression" dxfId="444" priority="19">
      <formula>"($C$15='NO')"</formula>
    </cfRule>
  </conditionalFormatting>
  <conditionalFormatting sqref="E57:E58">
    <cfRule type="expression" dxfId="443" priority="13">
      <formula>"($C$15='NO')"</formula>
    </cfRule>
  </conditionalFormatting>
  <conditionalFormatting sqref="E59">
    <cfRule type="expression" dxfId="442" priority="12">
      <formula>"($C$15='NO')"</formula>
    </cfRule>
  </conditionalFormatting>
  <conditionalFormatting sqref="E55:E56">
    <cfRule type="expression" dxfId="441" priority="14">
      <formula>"($C$15='NO')"</formula>
    </cfRule>
  </conditionalFormatting>
  <conditionalFormatting sqref="E55:E59">
    <cfRule type="expression" dxfId="440" priority="15">
      <formula>"($C$15='NO')"</formula>
    </cfRule>
  </conditionalFormatting>
  <conditionalFormatting sqref="E62:E63">
    <cfRule type="expression" dxfId="439" priority="11">
      <formula>"($C$15='NO')"</formula>
    </cfRule>
  </conditionalFormatting>
  <conditionalFormatting sqref="E64:E65">
    <cfRule type="expression" dxfId="438" priority="10">
      <formula>"($C$15='NO')"</formula>
    </cfRule>
  </conditionalFormatting>
  <conditionalFormatting sqref="E66">
    <cfRule type="expression" dxfId="437" priority="9">
      <formula>"($C$15='NO')"</formula>
    </cfRule>
  </conditionalFormatting>
  <conditionalFormatting sqref="E64:E65">
    <cfRule type="expression" dxfId="436" priority="6">
      <formula>"($C$15='NO')"</formula>
    </cfRule>
  </conditionalFormatting>
  <conditionalFormatting sqref="E66">
    <cfRule type="expression" dxfId="435" priority="5">
      <formula>"($C$15='NO')"</formula>
    </cfRule>
  </conditionalFormatting>
  <conditionalFormatting sqref="E62:E63">
    <cfRule type="expression" dxfId="434" priority="7">
      <formula>"($C$15='NO')"</formula>
    </cfRule>
  </conditionalFormatting>
  <conditionalFormatting sqref="E62:E66">
    <cfRule type="expression" dxfId="433" priority="8">
      <formula>"($C$15='NO')"</formula>
    </cfRule>
  </conditionalFormatting>
  <conditionalFormatting sqref="B79:E80">
    <cfRule type="expression" dxfId="432" priority="1">
      <formula>$D$33="NO"</formula>
    </cfRule>
  </conditionalFormatting>
  <dataValidations disablePrompts="1" count="4">
    <dataValidation showInputMessage="1" showErrorMessage="1" sqref="D74:D75"/>
    <dataValidation allowBlank="1" showInputMessage="1" showErrorMessage="1" promptTitle="Urban or Rural" sqref="D41 C41:C68 E42 C32:E39 E44:E49 E51:E53 E55:E60 E62:E67"/>
    <dataValidation type="list" showInputMessage="1" showErrorMessage="1" sqref="D13:D21">
      <formula1>YES.NO</formula1>
    </dataValidation>
    <dataValidation type="whole" allowBlank="1" showInputMessage="1" showErrorMessage="1" sqref="D77 D80">
      <formula1>0</formula1>
      <formula2>12</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A72AC0E-8A78-4553-8591-59BB4647C341}">
            <xm:f>'1 New Signal Install'!$D$33="NO"</xm:f>
            <x14:dxf>
              <font>
                <color theme="0" tint="-0.24994659260841701"/>
              </font>
              <fill>
                <patternFill>
                  <bgColor theme="0" tint="-0.24994659260841701"/>
                </patternFill>
              </fill>
              <border>
                <left/>
                <right/>
                <top/>
                <bottom/>
              </border>
            </x14:dxf>
          </x14:cfRule>
          <xm:sqref>B78:F78 B76 B77:D77 F76:F77</xm:sqref>
        </x14:conditionalFormatting>
        <x14:conditionalFormatting xmlns:xm="http://schemas.microsoft.com/office/excel/2006/main">
          <x14:cfRule type="expression" priority="3" id="{583B57E3-9432-4DA0-9094-A5134F8FAFC3}">
            <xm:f>'1 New Signal Install'!$D$22="NO"</xm:f>
            <x14:dxf>
              <font>
                <color theme="0" tint="-0.24994659260841701"/>
              </font>
              <fill>
                <patternFill>
                  <bgColor theme="0" tint="-0.24994659260841701"/>
                </patternFill>
              </fill>
              <border>
                <left/>
                <right/>
                <top/>
                <bottom/>
              </border>
            </x14:dxf>
          </x14:cfRule>
          <xm:sqref>C76:E76</xm:sqref>
        </x14:conditionalFormatting>
        <x14:conditionalFormatting xmlns:xm="http://schemas.microsoft.com/office/excel/2006/main">
          <x14:cfRule type="expression" priority="2" id="{E37C9576-3911-4786-A3D5-B6E07EF12F11}">
            <xm:f>'1 New Signal Install'!$D$22="NO"</xm:f>
            <x14:dxf>
              <font>
                <color theme="0" tint="-0.24994659260841701"/>
              </font>
              <fill>
                <patternFill>
                  <bgColor theme="0" tint="-0.24994659260841701"/>
                </patternFill>
              </fill>
              <border>
                <left/>
                <right/>
                <top/>
                <bottom/>
              </border>
            </x14:dxf>
          </x14:cfRule>
          <xm:sqref>E77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C000"/>
    <pageSetUpPr fitToPage="1"/>
  </sheetPr>
  <dimension ref="A1:I78"/>
  <sheetViews>
    <sheetView view="pageBreakPreview" zoomScale="85" zoomScaleNormal="85" zoomScaleSheetLayoutView="85" workbookViewId="0">
      <selection activeCell="E22" sqref="E22"/>
    </sheetView>
  </sheetViews>
  <sheetFormatPr defaultColWidth="8.88671875" defaultRowHeight="14.4" x14ac:dyDescent="0.3"/>
  <cols>
    <col min="1" max="1" width="1.5546875" style="4" customWidth="1"/>
    <col min="2" max="2" width="13.109375" style="4" customWidth="1"/>
    <col min="3" max="3" width="44.88671875" style="4" customWidth="1"/>
    <col min="4" max="4" width="11.44140625" style="4" customWidth="1"/>
    <col min="5" max="5" width="32.6640625" style="4" bestFit="1" customWidth="1"/>
    <col min="6" max="6" width="1" style="4" customWidth="1"/>
    <col min="7" max="7" width="1.33203125" style="4" customWidth="1"/>
    <col min="8" max="9" width="9.109375" style="4" customWidth="1"/>
    <col min="10" max="16384" width="8.88671875" style="4"/>
  </cols>
  <sheetData>
    <row r="1" spans="1:8" x14ac:dyDescent="0.3">
      <c r="A1" s="7"/>
      <c r="B1" s="7"/>
      <c r="C1" s="277" t="s">
        <v>488</v>
      </c>
      <c r="D1" s="7"/>
      <c r="E1" s="7"/>
      <c r="F1" s="7"/>
      <c r="G1" s="7"/>
    </row>
    <row r="2" spans="1:8" ht="25.8" x14ac:dyDescent="0.3">
      <c r="A2" s="7"/>
      <c r="B2" s="7"/>
      <c r="C2" s="176" t="s">
        <v>67</v>
      </c>
      <c r="D2" s="162"/>
      <c r="E2" s="162"/>
      <c r="F2" s="7"/>
      <c r="G2" s="7"/>
    </row>
    <row r="3" spans="1:8" x14ac:dyDescent="0.3">
      <c r="A3" s="7"/>
      <c r="B3" s="7"/>
      <c r="C3" s="162" t="s">
        <v>243</v>
      </c>
      <c r="D3" s="7"/>
      <c r="E3" s="7"/>
      <c r="F3" s="7"/>
      <c r="G3" s="7"/>
    </row>
    <row r="4" spans="1:8" x14ac:dyDescent="0.3">
      <c r="A4" s="7"/>
      <c r="B4" s="7"/>
      <c r="C4" s="7"/>
      <c r="D4" s="7"/>
      <c r="E4" s="7"/>
      <c r="F4" s="7"/>
      <c r="G4" s="7"/>
    </row>
    <row r="5" spans="1:8" x14ac:dyDescent="0.3">
      <c r="A5" s="7"/>
      <c r="B5" s="7"/>
      <c r="C5" s="20" t="s">
        <v>2</v>
      </c>
      <c r="D5" s="321"/>
      <c r="E5" s="321"/>
      <c r="F5" s="7"/>
      <c r="G5" s="7"/>
    </row>
    <row r="6" spans="1:8" x14ac:dyDescent="0.3">
      <c r="A6" s="7"/>
      <c r="B6" s="7"/>
      <c r="C6" s="20" t="s">
        <v>0</v>
      </c>
      <c r="D6" s="364"/>
      <c r="E6" s="321"/>
      <c r="F6" s="7"/>
      <c r="G6" s="7"/>
    </row>
    <row r="7" spans="1:8" x14ac:dyDescent="0.3">
      <c r="A7" s="7"/>
      <c r="B7" s="7"/>
      <c r="C7" s="20" t="s">
        <v>160</v>
      </c>
      <c r="D7" s="321"/>
      <c r="E7" s="321"/>
      <c r="F7" s="7"/>
      <c r="G7" s="7"/>
    </row>
    <row r="8" spans="1:8" x14ac:dyDescent="0.3">
      <c r="A8" s="7"/>
      <c r="B8" s="7"/>
      <c r="C8" s="7"/>
      <c r="D8" s="20"/>
      <c r="E8" s="7"/>
      <c r="F8" s="7"/>
      <c r="G8" s="7"/>
    </row>
    <row r="9" spans="1:8" x14ac:dyDescent="0.3">
      <c r="A9" s="7"/>
      <c r="B9" s="7"/>
      <c r="C9" s="7"/>
      <c r="D9" s="20"/>
      <c r="E9" s="7"/>
      <c r="F9" s="7"/>
      <c r="G9" s="7"/>
    </row>
    <row r="10" spans="1:8" ht="30" customHeight="1" x14ac:dyDescent="0.3">
      <c r="A10" s="7"/>
      <c r="B10" s="50">
        <v>1</v>
      </c>
      <c r="C10" s="19" t="s">
        <v>233</v>
      </c>
      <c r="D10" s="355"/>
      <c r="E10" s="355"/>
      <c r="F10" s="7"/>
      <c r="G10" s="7"/>
    </row>
    <row r="11" spans="1:8" ht="17.25" customHeight="1" x14ac:dyDescent="0.3">
      <c r="A11" s="7"/>
      <c r="B11" s="50"/>
      <c r="C11" s="19"/>
      <c r="D11" s="8"/>
      <c r="E11" s="7"/>
      <c r="F11" s="7"/>
      <c r="G11" s="7"/>
    </row>
    <row r="12" spans="1:8" x14ac:dyDescent="0.3">
      <c r="A12" s="7"/>
      <c r="B12" s="50">
        <v>2</v>
      </c>
      <c r="C12" s="106" t="s">
        <v>16</v>
      </c>
      <c r="D12" s="365"/>
      <c r="E12" s="365"/>
      <c r="F12" s="7"/>
      <c r="G12" s="7"/>
    </row>
    <row r="13" spans="1:8" x14ac:dyDescent="0.3">
      <c r="A13" s="7"/>
      <c r="B13" s="50"/>
      <c r="C13" s="106"/>
      <c r="D13" s="111"/>
      <c r="E13" s="111"/>
      <c r="F13" s="7"/>
      <c r="G13" s="7"/>
    </row>
    <row r="14" spans="1:8" x14ac:dyDescent="0.3">
      <c r="A14" s="7"/>
      <c r="B14" s="50">
        <v>3</v>
      </c>
      <c r="C14" s="106" t="s">
        <v>71</v>
      </c>
      <c r="D14" s="365" t="s">
        <v>12</v>
      </c>
      <c r="E14" s="365"/>
      <c r="F14" s="7"/>
      <c r="G14" s="7"/>
    </row>
    <row r="15" spans="1:8" x14ac:dyDescent="0.3">
      <c r="A15" s="7"/>
      <c r="B15" s="50"/>
      <c r="C15" s="317" t="s">
        <v>185</v>
      </c>
      <c r="D15" s="317"/>
      <c r="E15" s="317"/>
      <c r="F15" s="7"/>
      <c r="G15" s="7"/>
    </row>
    <row r="16" spans="1:8" ht="30" customHeight="1" x14ac:dyDescent="0.3">
      <c r="A16" s="7"/>
      <c r="B16" s="50"/>
      <c r="C16" s="366"/>
      <c r="D16" s="367"/>
      <c r="E16" s="368"/>
      <c r="F16" s="7"/>
      <c r="G16" s="7"/>
      <c r="H16" s="222"/>
    </row>
    <row r="17" spans="1:8" x14ac:dyDescent="0.3">
      <c r="A17" s="7"/>
      <c r="B17" s="50"/>
      <c r="C17" s="106"/>
      <c r="D17" s="106"/>
      <c r="E17" s="106"/>
      <c r="F17" s="7"/>
      <c r="G17" s="7"/>
      <c r="H17" s="219"/>
    </row>
    <row r="18" spans="1:8" ht="28.95" customHeight="1" x14ac:dyDescent="0.3">
      <c r="B18" s="4">
        <v>4</v>
      </c>
      <c r="C18" s="317" t="s">
        <v>473</v>
      </c>
      <c r="D18" s="317"/>
      <c r="E18" s="317"/>
      <c r="F18" s="106"/>
      <c r="H18" s="220"/>
    </row>
    <row r="19" spans="1:8" ht="14.4" customHeight="1" x14ac:dyDescent="0.3">
      <c r="C19" s="7"/>
      <c r="D19" s="20" t="s">
        <v>440</v>
      </c>
      <c r="E19" s="123"/>
      <c r="H19" s="217"/>
    </row>
    <row r="20" spans="1:8" ht="14.4" customHeight="1" x14ac:dyDescent="0.3">
      <c r="C20" s="7"/>
      <c r="D20" s="20" t="s">
        <v>6</v>
      </c>
      <c r="E20" s="123"/>
      <c r="H20" s="223"/>
    </row>
    <row r="21" spans="1:8" ht="14.4" customHeight="1" x14ac:dyDescent="0.3">
      <c r="C21" s="7"/>
      <c r="D21" s="20" t="s">
        <v>297</v>
      </c>
      <c r="E21" s="123"/>
      <c r="H21" s="223"/>
    </row>
    <row r="22" spans="1:8" ht="14.4" customHeight="1" x14ac:dyDescent="0.3">
      <c r="C22" s="7"/>
      <c r="D22" s="20" t="s">
        <v>441</v>
      </c>
      <c r="E22" s="123"/>
      <c r="H22" s="223"/>
    </row>
    <row r="23" spans="1:8" ht="14.4" customHeight="1" x14ac:dyDescent="0.3">
      <c r="C23" s="7"/>
      <c r="D23" s="20" t="s">
        <v>442</v>
      </c>
      <c r="E23" s="123"/>
      <c r="H23" s="223"/>
    </row>
    <row r="24" spans="1:8" ht="14.4" customHeight="1" x14ac:dyDescent="0.3">
      <c r="C24" s="7"/>
      <c r="D24" s="20" t="s">
        <v>443</v>
      </c>
      <c r="E24" s="123"/>
      <c r="H24" s="223"/>
    </row>
    <row r="25" spans="1:8" ht="17.25" customHeight="1" x14ac:dyDescent="0.3">
      <c r="A25" s="7"/>
      <c r="B25" s="50"/>
      <c r="C25" s="19"/>
      <c r="D25" s="8"/>
      <c r="E25" s="7"/>
      <c r="F25" s="7"/>
      <c r="G25" s="7"/>
      <c r="H25" s="42"/>
    </row>
    <row r="26" spans="1:8" x14ac:dyDescent="0.3">
      <c r="A26" s="7"/>
      <c r="B26" s="50">
        <v>5</v>
      </c>
      <c r="C26" s="317" t="s">
        <v>5</v>
      </c>
      <c r="D26" s="317"/>
      <c r="E26" s="317"/>
      <c r="F26" s="7"/>
      <c r="G26" s="7"/>
      <c r="H26" s="42"/>
    </row>
    <row r="27" spans="1:8" x14ac:dyDescent="0.3">
      <c r="A27" s="7"/>
      <c r="B27" s="7"/>
      <c r="C27" s="20" t="s">
        <v>6</v>
      </c>
      <c r="D27" s="118"/>
      <c r="E27" s="7"/>
      <c r="F27" s="7"/>
      <c r="G27" s="7"/>
      <c r="H27" s="42"/>
    </row>
    <row r="28" spans="1:8" ht="28.8" x14ac:dyDescent="0.3">
      <c r="A28" s="7"/>
      <c r="B28" s="7"/>
      <c r="C28" s="21" t="s">
        <v>9</v>
      </c>
      <c r="D28" s="118"/>
      <c r="E28" s="7"/>
      <c r="F28" s="7"/>
      <c r="G28" s="7"/>
      <c r="H28" s="42"/>
    </row>
    <row r="29" spans="1:8" x14ac:dyDescent="0.3">
      <c r="A29" s="7"/>
      <c r="B29" s="7"/>
      <c r="C29" s="20" t="s">
        <v>7</v>
      </c>
      <c r="D29" s="118"/>
      <c r="E29" s="7"/>
      <c r="F29" s="7"/>
      <c r="G29" s="7"/>
      <c r="H29" s="42"/>
    </row>
    <row r="30" spans="1:8" x14ac:dyDescent="0.3">
      <c r="A30" s="7"/>
      <c r="B30" s="7"/>
      <c r="C30" s="7"/>
      <c r="D30" s="7"/>
      <c r="E30" s="7"/>
      <c r="F30" s="7"/>
      <c r="G30" s="7"/>
      <c r="H30" s="42"/>
    </row>
    <row r="31" spans="1:8" x14ac:dyDescent="0.3">
      <c r="A31" s="7"/>
      <c r="B31" s="7"/>
      <c r="C31" s="7"/>
      <c r="D31" s="7"/>
      <c r="E31" s="7"/>
      <c r="F31" s="7"/>
      <c r="G31" s="7"/>
      <c r="H31" s="42"/>
    </row>
    <row r="32" spans="1:8" x14ac:dyDescent="0.3">
      <c r="A32" s="7"/>
      <c r="B32" s="55" t="s">
        <v>8</v>
      </c>
      <c r="C32" s="82"/>
      <c r="D32" s="82"/>
      <c r="E32" s="82"/>
      <c r="F32" s="100"/>
      <c r="G32" s="7"/>
      <c r="H32" s="42"/>
    </row>
    <row r="33" spans="1:8" x14ac:dyDescent="0.3">
      <c r="A33" s="7"/>
      <c r="B33" s="58"/>
      <c r="C33" s="7"/>
      <c r="D33" s="7"/>
      <c r="E33" s="7"/>
      <c r="F33" s="75"/>
      <c r="G33" s="7"/>
      <c r="H33" s="42"/>
    </row>
    <row r="34" spans="1:8" ht="31.5" customHeight="1" x14ac:dyDescent="0.3">
      <c r="A34" s="7"/>
      <c r="B34" s="56" t="s">
        <v>13</v>
      </c>
      <c r="C34" s="317" t="s">
        <v>479</v>
      </c>
      <c r="D34" s="317"/>
      <c r="E34" s="317"/>
      <c r="F34" s="75"/>
      <c r="G34" s="7"/>
      <c r="H34" s="222"/>
    </row>
    <row r="35" spans="1:8" x14ac:dyDescent="0.3">
      <c r="A35" s="7"/>
      <c r="B35" s="57"/>
      <c r="C35" s="7"/>
      <c r="D35" s="353"/>
      <c r="E35" s="354"/>
      <c r="F35" s="75"/>
      <c r="G35" s="7"/>
      <c r="H35" s="219"/>
    </row>
    <row r="36" spans="1:8" x14ac:dyDescent="0.3">
      <c r="A36" s="7"/>
      <c r="B36" s="56" t="s">
        <v>47</v>
      </c>
      <c r="C36" s="317" t="s">
        <v>80</v>
      </c>
      <c r="D36" s="317"/>
      <c r="E36" s="317"/>
      <c r="F36" s="75"/>
      <c r="G36" s="7"/>
      <c r="H36" s="42"/>
    </row>
    <row r="37" spans="1:8" x14ac:dyDescent="0.3">
      <c r="A37" s="7"/>
      <c r="B37" s="56"/>
      <c r="C37" s="106"/>
      <c r="D37" s="13"/>
      <c r="E37" s="15" t="s">
        <v>81</v>
      </c>
      <c r="F37" s="75"/>
      <c r="G37" s="7"/>
      <c r="H37" s="42"/>
    </row>
    <row r="38" spans="1:8" x14ac:dyDescent="0.3">
      <c r="A38" s="7"/>
      <c r="B38" s="56"/>
      <c r="C38" s="207"/>
      <c r="D38" s="13"/>
      <c r="E38" s="15" t="s">
        <v>86</v>
      </c>
      <c r="F38" s="75"/>
      <c r="G38" s="7"/>
      <c r="H38" s="42"/>
    </row>
    <row r="39" spans="1:8" x14ac:dyDescent="0.3">
      <c r="A39" s="7"/>
      <c r="B39" s="56"/>
      <c r="C39" s="106"/>
      <c r="D39" s="13"/>
      <c r="E39" s="15" t="s">
        <v>85</v>
      </c>
      <c r="F39" s="75"/>
      <c r="G39" s="7"/>
      <c r="H39" s="42"/>
    </row>
    <row r="40" spans="1:8" x14ac:dyDescent="0.3">
      <c r="A40" s="7"/>
      <c r="B40" s="56"/>
      <c r="C40" s="207"/>
      <c r="D40" s="13"/>
      <c r="E40" s="15" t="s">
        <v>87</v>
      </c>
      <c r="F40" s="75"/>
      <c r="G40" s="7"/>
      <c r="H40" s="42"/>
    </row>
    <row r="41" spans="1:8" x14ac:dyDescent="0.3">
      <c r="A41" s="7"/>
      <c r="B41" s="56"/>
      <c r="C41" s="106"/>
      <c r="D41" s="13"/>
      <c r="E41" s="15" t="s">
        <v>83</v>
      </c>
      <c r="F41" s="75"/>
      <c r="G41" s="7"/>
      <c r="H41" s="42"/>
    </row>
    <row r="42" spans="1:8" x14ac:dyDescent="0.3">
      <c r="A42" s="7"/>
      <c r="B42" s="57"/>
      <c r="C42" s="7"/>
      <c r="D42" s="16"/>
      <c r="E42" s="15"/>
      <c r="F42" s="75"/>
      <c r="G42" s="7"/>
      <c r="H42" s="42"/>
    </row>
    <row r="43" spans="1:8" x14ac:dyDescent="0.3">
      <c r="A43" s="7"/>
      <c r="B43" s="56" t="s">
        <v>76</v>
      </c>
      <c r="C43" s="352" t="s">
        <v>89</v>
      </c>
      <c r="D43" s="352"/>
      <c r="E43" s="352"/>
      <c r="F43" s="75"/>
      <c r="G43" s="7"/>
      <c r="H43" s="42"/>
    </row>
    <row r="44" spans="1:8" x14ac:dyDescent="0.3">
      <c r="A44" s="7"/>
      <c r="B44" s="57"/>
      <c r="C44" s="7"/>
      <c r="D44" s="13"/>
      <c r="E44" s="7" t="s">
        <v>90</v>
      </c>
      <c r="F44" s="75"/>
      <c r="G44" s="7"/>
      <c r="H44" s="222"/>
    </row>
    <row r="45" spans="1:8" ht="15" thickBot="1" x14ac:dyDescent="0.35">
      <c r="A45" s="7"/>
      <c r="B45" s="57"/>
      <c r="C45" s="7"/>
      <c r="D45" s="16"/>
      <c r="E45" s="7"/>
      <c r="F45" s="75"/>
      <c r="G45" s="7"/>
      <c r="H45" s="219"/>
    </row>
    <row r="46" spans="1:8" ht="15.6" thickTop="1" thickBot="1" x14ac:dyDescent="0.35">
      <c r="A46" s="7"/>
      <c r="B46" s="57"/>
      <c r="C46" s="7"/>
      <c r="D46" s="140" t="s">
        <v>84</v>
      </c>
      <c r="E46" s="155" t="e">
        <f>'2 Signal Replace Benefit'!E64</f>
        <v>#DIV/0!</v>
      </c>
      <c r="F46" s="75"/>
      <c r="G46" s="7"/>
      <c r="H46" s="42"/>
    </row>
    <row r="47" spans="1:8" ht="15" thickTop="1" x14ac:dyDescent="0.3">
      <c r="A47" s="7"/>
      <c r="B47" s="60"/>
      <c r="C47" s="132"/>
      <c r="D47" s="132"/>
      <c r="E47" s="132"/>
      <c r="F47" s="99"/>
      <c r="G47" s="7"/>
      <c r="H47" s="42"/>
    </row>
    <row r="48" spans="1:8" x14ac:dyDescent="0.3">
      <c r="A48" s="7"/>
      <c r="B48" s="7"/>
      <c r="C48" s="7"/>
      <c r="D48" s="7"/>
      <c r="E48" s="7"/>
      <c r="F48" s="7"/>
      <c r="G48" s="7"/>
      <c r="H48" s="42"/>
    </row>
    <row r="49" spans="1:9" x14ac:dyDescent="0.3">
      <c r="A49" s="7"/>
      <c r="B49" s="55" t="s">
        <v>14</v>
      </c>
      <c r="C49" s="82"/>
      <c r="D49" s="82"/>
      <c r="E49" s="82"/>
      <c r="F49" s="100"/>
      <c r="G49" s="7"/>
      <c r="H49" s="42"/>
    </row>
    <row r="50" spans="1:9" x14ac:dyDescent="0.3">
      <c r="A50" s="7"/>
      <c r="B50" s="58"/>
      <c r="C50" s="7"/>
      <c r="D50" s="7"/>
      <c r="E50" s="7"/>
      <c r="F50" s="75"/>
      <c r="G50" s="7"/>
      <c r="H50" s="42"/>
    </row>
    <row r="51" spans="1:9" ht="48" customHeight="1" x14ac:dyDescent="0.3">
      <c r="A51" s="7"/>
      <c r="B51" s="56" t="s">
        <v>342</v>
      </c>
      <c r="C51" s="317" t="s">
        <v>598</v>
      </c>
      <c r="D51" s="317"/>
      <c r="E51" s="317"/>
      <c r="F51" s="75"/>
      <c r="G51" s="58"/>
      <c r="H51" s="224"/>
      <c r="I51" s="7"/>
    </row>
    <row r="52" spans="1:9" x14ac:dyDescent="0.3">
      <c r="A52" s="7"/>
      <c r="B52" s="57"/>
      <c r="C52" s="7"/>
      <c r="D52" s="105"/>
      <c r="E52" s="7" t="s">
        <v>404</v>
      </c>
      <c r="F52" s="75"/>
      <c r="G52" s="58"/>
      <c r="H52" s="216"/>
      <c r="I52" s="7"/>
    </row>
    <row r="53" spans="1:9" x14ac:dyDescent="0.3">
      <c r="A53" s="7"/>
      <c r="B53" s="57"/>
      <c r="C53" s="7"/>
      <c r="D53" s="7"/>
      <c r="E53" s="7"/>
      <c r="F53" s="75"/>
      <c r="G53" s="58"/>
      <c r="H53" s="15"/>
      <c r="I53" s="7"/>
    </row>
    <row r="54" spans="1:9" ht="33" customHeight="1" x14ac:dyDescent="0.3">
      <c r="A54" s="7"/>
      <c r="B54" s="57" t="s">
        <v>343</v>
      </c>
      <c r="C54" s="317" t="s">
        <v>475</v>
      </c>
      <c r="D54" s="317"/>
      <c r="E54" s="317"/>
      <c r="F54" s="75"/>
      <c r="G54" s="7"/>
      <c r="H54" s="222"/>
      <c r="I54" s="7"/>
    </row>
    <row r="55" spans="1:9" x14ac:dyDescent="0.3">
      <c r="A55" s="7"/>
      <c r="B55" s="57"/>
      <c r="C55" s="7"/>
      <c r="D55" s="123">
        <f>E23</f>
        <v>0</v>
      </c>
      <c r="E55" s="7"/>
      <c r="F55" s="75"/>
      <c r="G55" s="7"/>
      <c r="H55" s="219"/>
      <c r="I55" s="7"/>
    </row>
    <row r="56" spans="1:9" ht="15" thickBot="1" x14ac:dyDescent="0.35">
      <c r="A56" s="7"/>
      <c r="B56" s="57"/>
      <c r="C56" s="7"/>
      <c r="D56" s="7"/>
      <c r="E56" s="7"/>
      <c r="F56" s="75"/>
      <c r="G56" s="7"/>
      <c r="H56" s="42"/>
      <c r="I56" s="7"/>
    </row>
    <row r="57" spans="1:9" ht="15.6" thickTop="1" thickBot="1" x14ac:dyDescent="0.35">
      <c r="A57" s="7"/>
      <c r="B57" s="57"/>
      <c r="C57" s="7"/>
      <c r="D57" s="140" t="s">
        <v>109</v>
      </c>
      <c r="E57" s="155">
        <f>'2 Signal Replace Benefit'!E93</f>
        <v>0</v>
      </c>
      <c r="F57" s="75"/>
      <c r="G57" s="7"/>
      <c r="H57" s="42"/>
      <c r="I57" s="7"/>
    </row>
    <row r="58" spans="1:9" ht="15" thickTop="1" x14ac:dyDescent="0.3">
      <c r="A58" s="7"/>
      <c r="B58" s="60"/>
      <c r="C58" s="132"/>
      <c r="D58" s="132"/>
      <c r="E58" s="132"/>
      <c r="F58" s="99"/>
      <c r="G58" s="7"/>
      <c r="H58" s="42"/>
      <c r="I58" s="7"/>
    </row>
    <row r="59" spans="1:9" x14ac:dyDescent="0.3">
      <c r="A59" s="7"/>
      <c r="B59" s="7"/>
      <c r="C59" s="7"/>
      <c r="D59" s="7"/>
      <c r="E59" s="7"/>
      <c r="F59" s="7"/>
      <c r="G59" s="7"/>
      <c r="H59" s="42"/>
      <c r="I59" s="7"/>
    </row>
    <row r="60" spans="1:9" x14ac:dyDescent="0.3">
      <c r="A60" s="7"/>
      <c r="B60" s="55" t="s">
        <v>24</v>
      </c>
      <c r="C60" s="82"/>
      <c r="D60" s="82"/>
      <c r="E60" s="82"/>
      <c r="F60" s="100"/>
      <c r="G60" s="7"/>
      <c r="H60" s="42"/>
      <c r="I60" s="7"/>
    </row>
    <row r="61" spans="1:9" x14ac:dyDescent="0.3">
      <c r="A61" s="7"/>
      <c r="B61" s="58"/>
      <c r="C61" s="7"/>
      <c r="D61" s="7"/>
      <c r="E61" s="7"/>
      <c r="F61" s="75"/>
      <c r="G61" s="58"/>
      <c r="H61" s="15"/>
      <c r="I61" s="7"/>
    </row>
    <row r="62" spans="1:9" ht="45.75" customHeight="1" x14ac:dyDescent="0.3">
      <c r="A62" s="7"/>
      <c r="B62" s="56" t="s">
        <v>25</v>
      </c>
      <c r="C62" s="317" t="s">
        <v>161</v>
      </c>
      <c r="D62" s="317"/>
      <c r="E62" s="317"/>
      <c r="F62" s="75"/>
      <c r="G62" s="58"/>
      <c r="H62" s="15"/>
      <c r="I62" s="7"/>
    </row>
    <row r="63" spans="1:9" x14ac:dyDescent="0.3">
      <c r="A63" s="7"/>
      <c r="B63" s="57"/>
      <c r="C63" s="7"/>
      <c r="D63" s="369"/>
      <c r="E63" s="370"/>
      <c r="F63" s="75"/>
      <c r="G63" s="58"/>
      <c r="H63" s="224"/>
      <c r="I63" s="7"/>
    </row>
    <row r="64" spans="1:9" ht="30.75" customHeight="1" x14ac:dyDescent="0.3">
      <c r="A64" s="7"/>
      <c r="B64" s="56" t="s">
        <v>110</v>
      </c>
      <c r="C64" s="317" t="s">
        <v>138</v>
      </c>
      <c r="D64" s="317"/>
      <c r="E64" s="317"/>
      <c r="F64" s="75"/>
      <c r="G64" s="7"/>
      <c r="H64" s="219"/>
    </row>
    <row r="65" spans="1:8" x14ac:dyDescent="0.3">
      <c r="A65" s="7"/>
      <c r="B65" s="57"/>
      <c r="C65" s="7"/>
      <c r="D65" s="18"/>
      <c r="E65" s="7" t="s">
        <v>139</v>
      </c>
      <c r="F65" s="75"/>
      <c r="G65" s="7"/>
      <c r="H65" s="42"/>
    </row>
    <row r="66" spans="1:8" x14ac:dyDescent="0.3">
      <c r="A66" s="7"/>
      <c r="B66" s="56" t="s">
        <v>140</v>
      </c>
      <c r="C66" s="7" t="s">
        <v>141</v>
      </c>
      <c r="D66" s="32"/>
      <c r="E66" s="7"/>
      <c r="F66" s="75"/>
      <c r="G66" s="7"/>
      <c r="H66" s="222"/>
    </row>
    <row r="67" spans="1:8" ht="15" thickBot="1" x14ac:dyDescent="0.35">
      <c r="A67" s="7"/>
      <c r="B67" s="57"/>
      <c r="C67" s="7"/>
      <c r="D67" s="7"/>
      <c r="E67" s="7"/>
      <c r="F67" s="75"/>
      <c r="G67" s="7"/>
      <c r="H67" s="214"/>
    </row>
    <row r="68" spans="1:8" ht="15.6" thickTop="1" thickBot="1" x14ac:dyDescent="0.35">
      <c r="A68" s="7"/>
      <c r="B68" s="57"/>
      <c r="C68" s="7"/>
      <c r="D68" s="140" t="s">
        <v>133</v>
      </c>
      <c r="E68" s="155">
        <f>'2 Signal Replace Benefit'!E127</f>
        <v>0</v>
      </c>
      <c r="F68" s="75"/>
      <c r="G68" s="7"/>
    </row>
    <row r="69" spans="1:8" ht="15" thickTop="1" x14ac:dyDescent="0.3">
      <c r="A69" s="7"/>
      <c r="B69" s="60"/>
      <c r="C69" s="132"/>
      <c r="D69" s="132"/>
      <c r="E69" s="132"/>
      <c r="F69" s="99"/>
      <c r="G69" s="7"/>
    </row>
    <row r="70" spans="1:8" x14ac:dyDescent="0.3">
      <c r="A70" s="7"/>
      <c r="B70" s="158"/>
      <c r="C70" s="82"/>
      <c r="D70" s="82"/>
      <c r="E70" s="82"/>
      <c r="F70" s="82"/>
      <c r="G70" s="7"/>
    </row>
    <row r="71" spans="1:8" x14ac:dyDescent="0.3">
      <c r="A71" s="7"/>
      <c r="B71" s="55" t="s">
        <v>65</v>
      </c>
      <c r="C71" s="82"/>
      <c r="D71" s="82"/>
      <c r="E71" s="82"/>
      <c r="F71" s="100"/>
      <c r="G71" s="7"/>
    </row>
    <row r="72" spans="1:8" ht="15" thickBot="1" x14ac:dyDescent="0.35">
      <c r="A72" s="7"/>
      <c r="B72" s="57"/>
      <c r="C72" s="7"/>
      <c r="D72" s="7"/>
      <c r="E72" s="7"/>
      <c r="F72" s="75"/>
      <c r="G72" s="7"/>
    </row>
    <row r="73" spans="1:8" ht="15.6" thickTop="1" thickBot="1" x14ac:dyDescent="0.35">
      <c r="A73" s="7"/>
      <c r="B73" s="57"/>
      <c r="C73" s="7"/>
      <c r="D73" s="140" t="s">
        <v>131</v>
      </c>
      <c r="E73" s="159">
        <f>'2 Signal Replace Benefit'!E154</f>
        <v>0</v>
      </c>
      <c r="F73" s="75"/>
      <c r="G73" s="7"/>
    </row>
    <row r="74" spans="1:8" ht="15" thickTop="1" x14ac:dyDescent="0.3">
      <c r="A74" s="7"/>
      <c r="B74" s="59"/>
      <c r="C74" s="132"/>
      <c r="D74" s="142"/>
      <c r="E74" s="160"/>
      <c r="F74" s="99"/>
      <c r="G74" s="7"/>
    </row>
    <row r="75" spans="1:8" ht="15" thickBot="1" x14ac:dyDescent="0.35">
      <c r="A75" s="7"/>
      <c r="B75" s="20"/>
      <c r="C75" s="7"/>
      <c r="D75" s="140"/>
      <c r="E75" s="161"/>
      <c r="F75" s="7"/>
      <c r="G75" s="7"/>
    </row>
    <row r="76" spans="1:8" ht="19.2" thickTop="1" thickBot="1" x14ac:dyDescent="0.35">
      <c r="A76" s="7"/>
      <c r="B76" s="20"/>
      <c r="C76" s="7"/>
      <c r="D76" s="94" t="s">
        <v>132</v>
      </c>
      <c r="E76" s="93" t="e">
        <f>ROUND(E73+E68+E57+E46,-2)</f>
        <v>#DIV/0!</v>
      </c>
      <c r="F76" s="7"/>
      <c r="G76" s="7"/>
    </row>
    <row r="77" spans="1:8" ht="19.2" thickTop="1" thickBot="1" x14ac:dyDescent="0.35">
      <c r="A77" s="7"/>
      <c r="B77" s="7"/>
      <c r="C77" s="7"/>
      <c r="D77" s="94" t="s">
        <v>330</v>
      </c>
      <c r="E77" s="96" t="e">
        <f>E76/D10</f>
        <v>#DIV/0!</v>
      </c>
      <c r="F77" s="7"/>
      <c r="G77" s="7"/>
    </row>
    <row r="78" spans="1:8" ht="15" thickTop="1" x14ac:dyDescent="0.3"/>
  </sheetData>
  <mergeCells count="19">
    <mergeCell ref="C64:E64"/>
    <mergeCell ref="D63:E63"/>
    <mergeCell ref="C34:E34"/>
    <mergeCell ref="C43:E43"/>
    <mergeCell ref="C51:E51"/>
    <mergeCell ref="C36:E36"/>
    <mergeCell ref="D35:E35"/>
    <mergeCell ref="C62:E62"/>
    <mergeCell ref="C54:E54"/>
    <mergeCell ref="C26:E26"/>
    <mergeCell ref="D5:E5"/>
    <mergeCell ref="D6:E6"/>
    <mergeCell ref="D7:E7"/>
    <mergeCell ref="D12:E12"/>
    <mergeCell ref="D10:E10"/>
    <mergeCell ref="D14:E14"/>
    <mergeCell ref="C15:E15"/>
    <mergeCell ref="C16:E16"/>
    <mergeCell ref="C18:E18"/>
  </mergeCells>
  <conditionalFormatting sqref="B32:E47">
    <cfRule type="expression" dxfId="428" priority="75">
      <formula>$D$27="NO"</formula>
    </cfRule>
  </conditionalFormatting>
  <conditionalFormatting sqref="B60:F69">
    <cfRule type="expression" dxfId="427" priority="31">
      <formula>$D$29="NO"</formula>
    </cfRule>
  </conditionalFormatting>
  <conditionalFormatting sqref="B49:F58">
    <cfRule type="expression" dxfId="426" priority="7">
      <formula>$D$28="NO"</formula>
    </cfRule>
  </conditionalFormatting>
  <conditionalFormatting sqref="B71:F74">
    <cfRule type="expression" dxfId="425" priority="6">
      <formula>$D$28="NO"</formula>
    </cfRule>
  </conditionalFormatting>
  <dataValidations count="7">
    <dataValidation type="whole" allowBlank="1" showInputMessage="1" showErrorMessage="1" sqref="D10">
      <formula1>0</formula1>
      <formula2>10000000</formula2>
    </dataValidation>
    <dataValidation type="list" showInputMessage="1" showErrorMessage="1" sqref="D27:D29">
      <formula1>YES.NO</formula1>
    </dataValidation>
    <dataValidation showInputMessage="1" showErrorMessage="1" promptTitle="Signal Project Purpose" sqref="D13:E13"/>
    <dataValidation showInputMessage="1" showErrorMessage="1" promptTitle="Signal Replace Type" sqref="D17:E17"/>
    <dataValidation type="whole" operator="greaterThanOrEqual" allowBlank="1" showInputMessage="1" showErrorMessage="1" sqref="D52">
      <formula1>0</formula1>
    </dataValidation>
    <dataValidation allowBlank="1" showInputMessage="1" showErrorMessage="1" promptTitle="Urban or Rural" sqref="E37:E41"/>
    <dataValidation showInputMessage="1" showErrorMessage="1" sqref="D55"/>
  </dataValidations>
  <pageMargins left="0.7" right="0.7" top="0.75" bottom="0.75" header="0.3" footer="0.3"/>
  <pageSetup scale="85" fitToHeight="0" orientation="portrait" r:id="rId1"/>
  <rowBreaks count="1" manualBreakCount="1">
    <brk id="47" max="6" man="1"/>
  </rowBreaks>
  <drawing r:id="rId2"/>
  <extLst>
    <ext xmlns:x14="http://schemas.microsoft.com/office/spreadsheetml/2009/9/main" uri="{CCE6A557-97BC-4b89-ADB6-D9C93CAAB3DF}">
      <x14:dataValidations xmlns:xm="http://schemas.microsoft.com/office/excel/2006/main" count="6">
        <x14:dataValidation type="list" showInputMessage="1" showErrorMessage="1" promptTitle="Signal Project Purpose">
          <x14:formula1>
            <xm:f>'drop-downs'!$E$2:$E$3</xm:f>
          </x14:formula1>
          <xm:sqref>D12:E12</xm:sqref>
        </x14:dataValidation>
        <x14:dataValidation type="list" showInputMessage="1" showErrorMessage="1" promptTitle="Region">
          <x14:formula1>
            <xm:f>'drop-downs'!$K$2:$K$6</xm:f>
          </x14:formula1>
          <xm:sqref>D5:E5</xm:sqref>
        </x14:dataValidation>
        <x14:dataValidation type="list" showInputMessage="1" showErrorMessage="1" promptTitle="Signal Replace Type">
          <x14:formula1>
            <xm:f>'drop-downs'!$G$2:$G$5</xm:f>
          </x14:formula1>
          <xm:sqref>D14:E14</xm:sqref>
        </x14:dataValidation>
        <x14:dataValidation type="list" allowBlank="1" showInputMessage="1" showErrorMessage="1" promptTitle="Urban or Rural">
          <x14:formula1>
            <xm:f>'drop-downs'!$W$2:$W$3</xm:f>
          </x14:formula1>
          <xm:sqref>D35:E35</xm:sqref>
        </x14:dataValidation>
        <x14:dataValidation type="list" showInputMessage="1" showErrorMessage="1" promptTitle="Increased Maintenance">
          <x14:formula1>
            <xm:f>'drop-downs'!$Y$2:$Y$4</xm:f>
          </x14:formula1>
          <xm:sqref>D63:E63</xm:sqref>
        </x14:dataValidation>
        <x14:dataValidation type="list" showInputMessage="1" showErrorMessage="1">
          <x14:formula1>
            <xm:f>'drop-downs'!$AR$2:$AR$4</xm:f>
          </x14:formula1>
          <xm:sqref>E19:E24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12</vt:i4>
      </vt:variant>
    </vt:vector>
  </HeadingPairs>
  <TitlesOfParts>
    <vt:vector size="42" baseType="lpstr">
      <vt:lpstr>Project Information</vt:lpstr>
      <vt:lpstr>Doc Checklist</vt:lpstr>
      <vt:lpstr>O&amp;M Considerations</vt:lpstr>
      <vt:lpstr>Introduction</vt:lpstr>
      <vt:lpstr>Data Needs</vt:lpstr>
      <vt:lpstr>PARAMETERS</vt:lpstr>
      <vt:lpstr>1 New Signal Install</vt:lpstr>
      <vt:lpstr>1 New Signal Benefits</vt:lpstr>
      <vt:lpstr>2 Signal Replace</vt:lpstr>
      <vt:lpstr>2 Signal Replace Benefit</vt:lpstr>
      <vt:lpstr>3 Signal Rehab</vt:lpstr>
      <vt:lpstr>3 Signal Rehab Benefit</vt:lpstr>
      <vt:lpstr>4 Signal Retrofit</vt:lpstr>
      <vt:lpstr>4 Signal Retro Benefit</vt:lpstr>
      <vt:lpstr>5 Signal Retiming</vt:lpstr>
      <vt:lpstr>5 Signal Retiming Benefit</vt:lpstr>
      <vt:lpstr>6 LED Replace</vt:lpstr>
      <vt:lpstr>6 LED Replac Benefit</vt:lpstr>
      <vt:lpstr>7 Communication</vt:lpstr>
      <vt:lpstr>7 Comm Benefit</vt:lpstr>
      <vt:lpstr>drop-downs</vt:lpstr>
      <vt:lpstr>8 Software</vt:lpstr>
      <vt:lpstr>8 Software Benefit</vt:lpstr>
      <vt:lpstr>9 ITS Device Replac</vt:lpstr>
      <vt:lpstr>9 ITS Device Replac Benefit</vt:lpstr>
      <vt:lpstr>10 DMS</vt:lpstr>
      <vt:lpstr>10 DMS Benefit</vt:lpstr>
      <vt:lpstr>11 CCTV</vt:lpstr>
      <vt:lpstr>11 CCTV Benefit</vt:lpstr>
      <vt:lpstr>12 Other</vt:lpstr>
      <vt:lpstr>LOS</vt:lpstr>
      <vt:lpstr>'1 New Signal Install'!Print_Area</vt:lpstr>
      <vt:lpstr>'2 Signal Replace'!Print_Area</vt:lpstr>
      <vt:lpstr>'3 Signal Rehab'!Print_Area</vt:lpstr>
      <vt:lpstr>'4 Signal Retrofit'!Print_Area</vt:lpstr>
      <vt:lpstr>'5 Signal Retiming'!Print_Area</vt:lpstr>
      <vt:lpstr>'6 LED Replace'!Print_Area</vt:lpstr>
      <vt:lpstr>'7 Communication'!Print_Area</vt:lpstr>
      <vt:lpstr>'8 Software'!Print_Area</vt:lpstr>
      <vt:lpstr>'9 ITS Device Replac'!Print_Area</vt:lpstr>
      <vt:lpstr>'9 ITS Device Replac Benefit'!Print_Area</vt:lpstr>
      <vt:lpstr>YES.NO</vt:lpstr>
    </vt:vector>
  </TitlesOfParts>
  <Company>Kimley-Horn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Smusz-Mengelkoch</dc:creator>
  <cp:lastModifiedBy>Natalie.Mengelkoch</cp:lastModifiedBy>
  <cp:lastPrinted>2016-10-27T15:19:40Z</cp:lastPrinted>
  <dcterms:created xsi:type="dcterms:W3CDTF">2014-01-14T16:48:38Z</dcterms:created>
  <dcterms:modified xsi:type="dcterms:W3CDTF">2017-01-11T21:28:11Z</dcterms:modified>
</cp:coreProperties>
</file>